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o.meiners\Documents\Projekte\Gesetze, Verträge und Vereinbarungen\Bundesweit\Covid 19\Betriebsärzte\"/>
    </mc:Choice>
  </mc:AlternateContent>
  <xr:revisionPtr revIDLastSave="0" documentId="8_{46B8AECF-F58E-4DFC-93C1-3786888D502F}" xr6:coauthVersionLast="46" xr6:coauthVersionMax="46" xr10:uidLastSave="{00000000-0000-0000-0000-000000000000}"/>
  <workbookProtection workbookAlgorithmName="SHA-512" workbookHashValue="ycM0/yGjVmF+M00aCPRKLUAIbQ/w+qY+Tiaqb87xFadsWdiwM8JgjPfC0tsLEtI5xAINX5DJrwXD7nQxNo2akA==" workbookSaltValue="c+axDJtyoNQs6zn5kmj8kg==" workbookSpinCount="100000" lockStructure="1"/>
  <bookViews>
    <workbookView xWindow="-120" yWindow="-120" windowWidth="38640" windowHeight="21240" tabRatio="528" activeTab="1" xr2:uid="{00000000-000D-0000-FFFF-FFFF00000000}"/>
  </bookViews>
  <sheets>
    <sheet name="ANLEITUNG" sheetId="4" r:id="rId1"/>
    <sheet name="Datenerfassung" sheetId="1" r:id="rId2"/>
    <sheet name="Beleg 1" sheetId="3" r:id="rId3"/>
    <sheet name="Beleg 2" sheetId="5" r:id="rId4"/>
    <sheet name="Beleg 3" sheetId="9" r:id="rId5"/>
    <sheet name="Beleg 4" sheetId="10" r:id="rId6"/>
    <sheet name="Beleg 5" sheetId="11" r:id="rId7"/>
  </sheets>
  <definedNames>
    <definedName name="_xlnm.Print_Area" localSheetId="2">'Beleg 1'!$E$1:$I$11</definedName>
    <definedName name="_xlnm.Print_Area" localSheetId="3">'Beleg 2'!$E$1:$I$11</definedName>
    <definedName name="_xlnm.Print_Area" localSheetId="4">'Beleg 3'!$E$1:$I$11</definedName>
    <definedName name="_xlnm.Print_Area" localSheetId="5">'Beleg 4'!$E$1:$I$11</definedName>
    <definedName name="_xlnm.Print_Area" localSheetId="6">'Beleg 5'!$E$1:$I$11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D46" i="1"/>
  <c r="D45" i="1"/>
  <c r="D44" i="1"/>
  <c r="D43" i="1"/>
  <c r="D38" i="1"/>
  <c r="D37" i="1"/>
  <c r="D36" i="1"/>
  <c r="D35" i="1"/>
  <c r="D34" i="1"/>
  <c r="D29" i="1"/>
  <c r="D28" i="1"/>
  <c r="D27" i="1"/>
  <c r="D26" i="1"/>
  <c r="D25" i="1"/>
  <c r="D20" i="1"/>
  <c r="D19" i="1"/>
  <c r="D18" i="1"/>
  <c r="D17" i="1"/>
  <c r="D16" i="1"/>
  <c r="D8" i="1"/>
  <c r="D9" i="1"/>
  <c r="D10" i="1"/>
  <c r="D11" i="1"/>
  <c r="S47" i="1"/>
  <c r="S46" i="1"/>
  <c r="S45" i="1"/>
  <c r="S38" i="1"/>
  <c r="S37" i="1"/>
  <c r="S36" i="1"/>
  <c r="S29" i="1"/>
  <c r="S28" i="1"/>
  <c r="S27" i="1"/>
  <c r="S20" i="1"/>
  <c r="S19" i="1"/>
  <c r="S18" i="1"/>
  <c r="S11" i="1"/>
  <c r="S10" i="1"/>
  <c r="S9" i="1"/>
  <c r="J20" i="1"/>
  <c r="C48" i="1"/>
  <c r="D7" i="1"/>
  <c r="J10" i="1"/>
  <c r="K10" i="1" s="1"/>
  <c r="R10" i="1"/>
  <c r="I1" i="11"/>
  <c r="I1" i="10"/>
  <c r="I1" i="9"/>
  <c r="I1" i="5"/>
  <c r="I1" i="3"/>
  <c r="C12" i="1"/>
  <c r="C21" i="1"/>
  <c r="C30" i="1"/>
  <c r="C39" i="1"/>
  <c r="R47" i="1"/>
  <c r="R38" i="1"/>
  <c r="R29" i="1"/>
  <c r="R20" i="1"/>
  <c r="X5" i="1"/>
  <c r="J27" i="1" l="1"/>
  <c r="X14" i="1"/>
  <c r="Q10" i="1"/>
  <c r="M10" i="1"/>
  <c r="L10" i="1"/>
  <c r="M20" i="1"/>
  <c r="Q20" i="1"/>
  <c r="K20" i="1"/>
  <c r="L20" i="1"/>
  <c r="J19" i="1"/>
  <c r="Q19" i="1" s="1"/>
  <c r="J18" i="1"/>
  <c r="Q18" i="1" s="1"/>
  <c r="J17" i="1"/>
  <c r="Q17" i="1" s="1"/>
  <c r="J16" i="1"/>
  <c r="Q16" i="1" s="1"/>
  <c r="J11" i="1"/>
  <c r="J9" i="1"/>
  <c r="J8" i="1"/>
  <c r="J7" i="1"/>
  <c r="J28" i="1" l="1"/>
  <c r="Q28" i="1" s="1"/>
  <c r="J25" i="1"/>
  <c r="Q25" i="1" s="1"/>
  <c r="J26" i="1"/>
  <c r="Q26" i="1" s="1"/>
  <c r="J29" i="1"/>
  <c r="X23" i="1"/>
  <c r="M7" i="1"/>
  <c r="Q7" i="1"/>
  <c r="L8" i="1"/>
  <c r="Q8" i="1"/>
  <c r="M9" i="1"/>
  <c r="Q9" i="1"/>
  <c r="M11" i="1"/>
  <c r="Q11" i="1"/>
  <c r="M27" i="1"/>
  <c r="Q27" i="1"/>
  <c r="K28" i="1"/>
  <c r="M17" i="1"/>
  <c r="M16" i="1"/>
  <c r="K18" i="1"/>
  <c r="L19" i="1"/>
  <c r="K27" i="1"/>
  <c r="L28" i="1"/>
  <c r="K17" i="1"/>
  <c r="L18" i="1"/>
  <c r="L27" i="1"/>
  <c r="M28" i="1"/>
  <c r="K25" i="1"/>
  <c r="L9" i="1"/>
  <c r="L7" i="1"/>
  <c r="K8" i="1"/>
  <c r="K7" i="1"/>
  <c r="L11" i="1"/>
  <c r="K9" i="1"/>
  <c r="K11" i="1"/>
  <c r="M8" i="1"/>
  <c r="M19" i="1"/>
  <c r="K16" i="1"/>
  <c r="L17" i="1"/>
  <c r="M18" i="1"/>
  <c r="L16" i="1"/>
  <c r="K19" i="1"/>
  <c r="E7" i="1"/>
  <c r="M26" i="1" l="1"/>
  <c r="L25" i="1"/>
  <c r="M25" i="1"/>
  <c r="L26" i="1"/>
  <c r="K26" i="1"/>
  <c r="M29" i="1"/>
  <c r="K29" i="1"/>
  <c r="L29" i="1"/>
  <c r="Q29" i="1"/>
  <c r="X32" i="1"/>
  <c r="J37" i="1"/>
  <c r="J38" i="1"/>
  <c r="J36" i="1"/>
  <c r="J35" i="1"/>
  <c r="J34" i="1"/>
  <c r="F11" i="11"/>
  <c r="F11" i="10"/>
  <c r="F11" i="9"/>
  <c r="F11" i="5"/>
  <c r="Q36" i="1" l="1"/>
  <c r="M36" i="1"/>
  <c r="K36" i="1"/>
  <c r="L36" i="1"/>
  <c r="Q38" i="1"/>
  <c r="K38" i="1"/>
  <c r="M38" i="1"/>
  <c r="L38" i="1"/>
  <c r="Q34" i="1"/>
  <c r="M34" i="1"/>
  <c r="K34" i="1"/>
  <c r="L34" i="1"/>
  <c r="M37" i="1"/>
  <c r="L37" i="1"/>
  <c r="K37" i="1"/>
  <c r="Q37" i="1"/>
  <c r="Q35" i="1"/>
  <c r="M35" i="1"/>
  <c r="L35" i="1"/>
  <c r="K35" i="1"/>
  <c r="J47" i="1"/>
  <c r="X41" i="1"/>
  <c r="J46" i="1"/>
  <c r="J43" i="1"/>
  <c r="J45" i="1"/>
  <c r="J44" i="1"/>
  <c r="R8" i="1"/>
  <c r="R9" i="1"/>
  <c r="R11" i="1"/>
  <c r="Q43" i="1" l="1"/>
  <c r="K43" i="1"/>
  <c r="M43" i="1"/>
  <c r="L43" i="1"/>
  <c r="K46" i="1"/>
  <c r="L46" i="1"/>
  <c r="Q46" i="1"/>
  <c r="M46" i="1"/>
  <c r="Q44" i="1"/>
  <c r="M44" i="1"/>
  <c r="K44" i="1"/>
  <c r="L44" i="1"/>
  <c r="Q45" i="1"/>
  <c r="M45" i="1"/>
  <c r="L45" i="1"/>
  <c r="K45" i="1"/>
  <c r="Q47" i="1"/>
  <c r="M47" i="1"/>
  <c r="L47" i="1"/>
  <c r="K47" i="1"/>
  <c r="R7" i="1"/>
  <c r="F11" i="3"/>
  <c r="E11" i="5"/>
  <c r="E11" i="3"/>
  <c r="E11" i="11" l="1"/>
  <c r="E11" i="9"/>
  <c r="R18" i="1"/>
  <c r="R19" i="1"/>
  <c r="R16" i="1"/>
  <c r="R17" i="1"/>
  <c r="E11" i="10" l="1"/>
  <c r="R35" i="1"/>
  <c r="R36" i="1"/>
  <c r="R37" i="1"/>
  <c r="R34" i="1"/>
  <c r="R26" i="1"/>
  <c r="R27" i="1"/>
  <c r="R25" i="1"/>
  <c r="R28" i="1"/>
  <c r="S43" i="1"/>
  <c r="S34" i="1"/>
  <c r="S25" i="1"/>
  <c r="S16" i="1"/>
  <c r="S7" i="1"/>
  <c r="E8" i="1" l="1"/>
  <c r="G8" i="1" s="1"/>
  <c r="N8" i="1" s="1"/>
  <c r="G7" i="1"/>
  <c r="N7" i="1" s="1"/>
  <c r="V43" i="1"/>
  <c r="V25" i="1"/>
  <c r="V16" i="1"/>
  <c r="R44" i="1"/>
  <c r="R46" i="1"/>
  <c r="R43" i="1"/>
  <c r="R45" i="1"/>
  <c r="U25" i="1"/>
  <c r="T34" i="1"/>
  <c r="T7" i="1"/>
  <c r="X7" i="1" s="1"/>
  <c r="U34" i="1"/>
  <c r="U7" i="1"/>
  <c r="V34" i="1"/>
  <c r="V7" i="1"/>
  <c r="T16" i="1"/>
  <c r="U16" i="1"/>
  <c r="T43" i="1"/>
  <c r="U43" i="1"/>
  <c r="T25" i="1"/>
  <c r="H7" i="1"/>
  <c r="O7" i="1" s="1"/>
  <c r="I7" i="1"/>
  <c r="P7" i="1" s="1"/>
  <c r="T26" i="1" l="1"/>
  <c r="X25" i="1"/>
  <c r="T17" i="1"/>
  <c r="T18" i="1" s="1"/>
  <c r="X16" i="1"/>
  <c r="T44" i="1"/>
  <c r="T45" i="1" s="1"/>
  <c r="X43" i="1"/>
  <c r="T35" i="1"/>
  <c r="X34" i="1"/>
  <c r="F7" i="1"/>
  <c r="E9" i="1"/>
  <c r="I8" i="1"/>
  <c r="P8" i="1" s="1"/>
  <c r="H8" i="1"/>
  <c r="O8" i="1" s="1"/>
  <c r="S44" i="1"/>
  <c r="S17" i="1"/>
  <c r="V17" i="1" s="1"/>
  <c r="T8" i="1"/>
  <c r="X8" i="1" s="1"/>
  <c r="S8" i="1"/>
  <c r="S35" i="1"/>
  <c r="S26" i="1"/>
  <c r="X17" i="1" l="1"/>
  <c r="X44" i="1"/>
  <c r="X26" i="1"/>
  <c r="T27" i="1"/>
  <c r="T46" i="1"/>
  <c r="X45" i="1"/>
  <c r="X35" i="1"/>
  <c r="T36" i="1"/>
  <c r="T19" i="1"/>
  <c r="X18" i="1"/>
  <c r="I9" i="1"/>
  <c r="P9" i="1" s="1"/>
  <c r="E10" i="1"/>
  <c r="F8" i="1"/>
  <c r="W8" i="1" s="1"/>
  <c r="G9" i="1"/>
  <c r="N9" i="1" s="1"/>
  <c r="H9" i="1"/>
  <c r="O9" i="1" s="1"/>
  <c r="U44" i="1"/>
  <c r="U35" i="1"/>
  <c r="U17" i="1"/>
  <c r="U26" i="1"/>
  <c r="V44" i="1"/>
  <c r="V35" i="1"/>
  <c r="W7" i="1"/>
  <c r="V26" i="1"/>
  <c r="U8" i="1"/>
  <c r="V8" i="1"/>
  <c r="T9" i="1"/>
  <c r="X9" i="1" s="1"/>
  <c r="V36" i="1"/>
  <c r="U36" i="1"/>
  <c r="V45" i="1"/>
  <c r="U45" i="1"/>
  <c r="V27" i="1"/>
  <c r="U27" i="1"/>
  <c r="U18" i="1"/>
  <c r="V18" i="1"/>
  <c r="T28" i="1" l="1"/>
  <c r="X27" i="1"/>
  <c r="T47" i="1"/>
  <c r="X47" i="1" s="1"/>
  <c r="X46" i="1"/>
  <c r="T37" i="1"/>
  <c r="X36" i="1"/>
  <c r="T20" i="1"/>
  <c r="X20" i="1" s="1"/>
  <c r="X19" i="1"/>
  <c r="T10" i="1"/>
  <c r="X10" i="1" s="1"/>
  <c r="C9" i="11"/>
  <c r="B6" i="11"/>
  <c r="G6" i="11" s="1"/>
  <c r="D9" i="11"/>
  <c r="C6" i="11"/>
  <c r="B9" i="11"/>
  <c r="B7" i="10"/>
  <c r="G7" i="10" s="1"/>
  <c r="D9" i="10"/>
  <c r="B9" i="10"/>
  <c r="B6" i="10"/>
  <c r="G6" i="10" s="1"/>
  <c r="C9" i="10"/>
  <c r="C6" i="10"/>
  <c r="H6" i="10" s="1"/>
  <c r="B9" i="9"/>
  <c r="C6" i="9"/>
  <c r="C9" i="9"/>
  <c r="B6" i="9"/>
  <c r="D9" i="9"/>
  <c r="B9" i="5"/>
  <c r="C6" i="5"/>
  <c r="C9" i="5"/>
  <c r="B6" i="5"/>
  <c r="D9" i="5"/>
  <c r="V47" i="1"/>
  <c r="C8" i="11" s="1"/>
  <c r="H8" i="11" s="1"/>
  <c r="U47" i="1"/>
  <c r="B8" i="11" s="1"/>
  <c r="G8" i="11" s="1"/>
  <c r="U38" i="1"/>
  <c r="B8" i="10" s="1"/>
  <c r="G8" i="10" s="1"/>
  <c r="V38" i="1"/>
  <c r="C8" i="10" s="1"/>
  <c r="H8" i="10" s="1"/>
  <c r="U29" i="1"/>
  <c r="B8" i="9" s="1"/>
  <c r="V29" i="1"/>
  <c r="C8" i="9" s="1"/>
  <c r="H8" i="9" s="1"/>
  <c r="U20" i="1"/>
  <c r="V20" i="1"/>
  <c r="I10" i="1"/>
  <c r="P10" i="1" s="1"/>
  <c r="G10" i="1"/>
  <c r="N10" i="1" s="1"/>
  <c r="H10" i="1"/>
  <c r="O10" i="1" s="1"/>
  <c r="V10" i="1"/>
  <c r="U10" i="1"/>
  <c r="E11" i="1"/>
  <c r="E16" i="1" s="1"/>
  <c r="G16" i="1" s="1"/>
  <c r="N16" i="1" s="1"/>
  <c r="F9" i="1"/>
  <c r="W9" i="1" s="1"/>
  <c r="U9" i="1"/>
  <c r="V9" i="1"/>
  <c r="U37" i="1"/>
  <c r="V37" i="1"/>
  <c r="U46" i="1"/>
  <c r="B7" i="11" s="1"/>
  <c r="G7" i="11" s="1"/>
  <c r="V46" i="1"/>
  <c r="C7" i="11" s="1"/>
  <c r="H7" i="11" s="1"/>
  <c r="U28" i="1"/>
  <c r="V28" i="1"/>
  <c r="C7" i="9" s="1"/>
  <c r="V19" i="1"/>
  <c r="C7" i="5" s="1"/>
  <c r="U19" i="1"/>
  <c r="B7" i="5" s="1"/>
  <c r="G7" i="5" s="1"/>
  <c r="E17" i="1" l="1"/>
  <c r="H9" i="10"/>
  <c r="B8" i="5"/>
  <c r="C8" i="5"/>
  <c r="H8" i="5" s="1"/>
  <c r="T29" i="1"/>
  <c r="X29" i="1" s="1"/>
  <c r="X28" i="1"/>
  <c r="C7" i="10"/>
  <c r="H7" i="10" s="1"/>
  <c r="T38" i="1"/>
  <c r="X38" i="1" s="1"/>
  <c r="X37" i="1"/>
  <c r="G9" i="9"/>
  <c r="B7" i="9"/>
  <c r="G7" i="9" s="1"/>
  <c r="G9" i="5"/>
  <c r="H11" i="1"/>
  <c r="O11" i="1" s="1"/>
  <c r="H9" i="5"/>
  <c r="H9" i="9"/>
  <c r="H9" i="11"/>
  <c r="T11" i="1"/>
  <c r="X11" i="1" s="1"/>
  <c r="G11" i="1"/>
  <c r="N11" i="1" s="1"/>
  <c r="G9" i="11"/>
  <c r="G9" i="10"/>
  <c r="I11" i="1"/>
  <c r="P11" i="1" s="1"/>
  <c r="H16" i="1"/>
  <c r="O16" i="1" s="1"/>
  <c r="I16" i="1"/>
  <c r="P16" i="1" s="1"/>
  <c r="F10" i="1"/>
  <c r="W10" i="1" s="1"/>
  <c r="F11" i="1"/>
  <c r="H7" i="9"/>
  <c r="H6" i="11"/>
  <c r="G6" i="5"/>
  <c r="H6" i="5"/>
  <c r="H7" i="5"/>
  <c r="G8" i="5"/>
  <c r="G6" i="9"/>
  <c r="H6" i="9"/>
  <c r="G8" i="9"/>
  <c r="B6" i="3"/>
  <c r="G6" i="3" s="1"/>
  <c r="U11" i="1"/>
  <c r="B9" i="3" s="1"/>
  <c r="V11" i="1"/>
  <c r="C9" i="3" s="1"/>
  <c r="I17" i="1"/>
  <c r="P17" i="1" s="1"/>
  <c r="H17" i="1"/>
  <c r="O17" i="1" s="1"/>
  <c r="G17" i="1"/>
  <c r="N17" i="1" s="1"/>
  <c r="E18" i="1"/>
  <c r="F16" i="1" l="1"/>
  <c r="F12" i="1"/>
  <c r="F17" i="1"/>
  <c r="W17" i="1" s="1"/>
  <c r="D6" i="5" s="1"/>
  <c r="W11" i="1"/>
  <c r="D6" i="3"/>
  <c r="I6" i="3" s="1"/>
  <c r="C6" i="3"/>
  <c r="H6" i="3" s="1"/>
  <c r="B7" i="3"/>
  <c r="G7" i="3" s="1"/>
  <c r="C7" i="3"/>
  <c r="H7" i="3" s="1"/>
  <c r="C8" i="3"/>
  <c r="H8" i="3" s="1"/>
  <c r="B8" i="3"/>
  <c r="G8" i="3" s="1"/>
  <c r="H9" i="3"/>
  <c r="G9" i="3"/>
  <c r="W16" i="1"/>
  <c r="I18" i="1"/>
  <c r="P18" i="1" s="1"/>
  <c r="H18" i="1"/>
  <c r="O18" i="1" s="1"/>
  <c r="G18" i="1"/>
  <c r="N18" i="1" s="1"/>
  <c r="E19" i="1"/>
  <c r="E20" i="1" s="1"/>
  <c r="H20" i="1" l="1"/>
  <c r="O20" i="1" s="1"/>
  <c r="E25" i="1"/>
  <c r="I20" i="1"/>
  <c r="P20" i="1" s="1"/>
  <c r="G20" i="1"/>
  <c r="N20" i="1" s="1"/>
  <c r="F18" i="1"/>
  <c r="D8" i="3"/>
  <c r="I8" i="3" s="1"/>
  <c r="D7" i="3"/>
  <c r="I7" i="3" s="1"/>
  <c r="D9" i="3"/>
  <c r="I9" i="3" s="1"/>
  <c r="I19" i="1"/>
  <c r="P19" i="1" s="1"/>
  <c r="H19" i="1"/>
  <c r="O19" i="1" s="1"/>
  <c r="G19" i="1"/>
  <c r="N19" i="1" s="1"/>
  <c r="F20" i="1" l="1"/>
  <c r="W20" i="1" s="1"/>
  <c r="F19" i="1"/>
  <c r="H3" i="3"/>
  <c r="W18" i="1"/>
  <c r="E26" i="1"/>
  <c r="G25" i="1"/>
  <c r="N25" i="1" s="1"/>
  <c r="H25" i="1"/>
  <c r="O25" i="1" s="1"/>
  <c r="I25" i="1"/>
  <c r="P25" i="1" s="1"/>
  <c r="F21" i="1" l="1"/>
  <c r="F25" i="1"/>
  <c r="W19" i="1"/>
  <c r="D8" i="5" s="1"/>
  <c r="H26" i="1"/>
  <c r="O26" i="1" s="1"/>
  <c r="G26" i="1"/>
  <c r="N26" i="1" s="1"/>
  <c r="E27" i="1"/>
  <c r="I26" i="1"/>
  <c r="P26" i="1" s="1"/>
  <c r="I6" i="5" l="1"/>
  <c r="D7" i="5"/>
  <c r="I7" i="5" s="1"/>
  <c r="F26" i="1"/>
  <c r="W26" i="1" s="1"/>
  <c r="I9" i="5"/>
  <c r="I8" i="5"/>
  <c r="I27" i="1"/>
  <c r="P27" i="1" s="1"/>
  <c r="H27" i="1"/>
  <c r="O27" i="1" s="1"/>
  <c r="E28" i="1"/>
  <c r="E29" i="1" s="1"/>
  <c r="E34" i="1" s="1"/>
  <c r="G27" i="1"/>
  <c r="N27" i="1" s="1"/>
  <c r="W25" i="1"/>
  <c r="H29" i="1" l="1"/>
  <c r="O29" i="1" s="1"/>
  <c r="G29" i="1"/>
  <c r="N29" i="1" s="1"/>
  <c r="I29" i="1"/>
  <c r="P29" i="1" s="1"/>
  <c r="F27" i="1"/>
  <c r="W27" i="1" s="1"/>
  <c r="D6" i="9" s="1"/>
  <c r="H3" i="5"/>
  <c r="H28" i="1"/>
  <c r="O28" i="1" s="1"/>
  <c r="I28" i="1"/>
  <c r="P28" i="1" s="1"/>
  <c r="G28" i="1"/>
  <c r="N28" i="1" s="1"/>
  <c r="F29" i="1" l="1"/>
  <c r="W29" i="1" s="1"/>
  <c r="D8" i="9" s="1"/>
  <c r="F28" i="1"/>
  <c r="E35" i="1"/>
  <c r="G34" i="1"/>
  <c r="N34" i="1" s="1"/>
  <c r="I34" i="1"/>
  <c r="P34" i="1" s="1"/>
  <c r="H34" i="1"/>
  <c r="O34" i="1" s="1"/>
  <c r="F30" i="1" l="1"/>
  <c r="F34" i="1"/>
  <c r="W28" i="1"/>
  <c r="D7" i="9" s="1"/>
  <c r="I35" i="1"/>
  <c r="P35" i="1" s="1"/>
  <c r="H35" i="1"/>
  <c r="O35" i="1" s="1"/>
  <c r="G35" i="1"/>
  <c r="N35" i="1" s="1"/>
  <c r="E36" i="1"/>
  <c r="W34" i="1" l="1"/>
  <c r="F35" i="1"/>
  <c r="W35" i="1" s="1"/>
  <c r="I7" i="9"/>
  <c r="I6" i="9"/>
  <c r="I9" i="9"/>
  <c r="I8" i="9"/>
  <c r="I36" i="1"/>
  <c r="P36" i="1" s="1"/>
  <c r="G36" i="1"/>
  <c r="N36" i="1" s="1"/>
  <c r="H36" i="1"/>
  <c r="O36" i="1" s="1"/>
  <c r="E37" i="1"/>
  <c r="E38" i="1" s="1"/>
  <c r="E43" i="1" s="1"/>
  <c r="D6" i="10" l="1"/>
  <c r="I6" i="10" s="1"/>
  <c r="H38" i="1"/>
  <c r="O38" i="1" s="1"/>
  <c r="I38" i="1"/>
  <c r="P38" i="1" s="1"/>
  <c r="G38" i="1"/>
  <c r="N38" i="1" s="1"/>
  <c r="F36" i="1"/>
  <c r="W36" i="1" s="1"/>
  <c r="H3" i="9"/>
  <c r="H37" i="1"/>
  <c r="O37" i="1" s="1"/>
  <c r="I37" i="1"/>
  <c r="P37" i="1" s="1"/>
  <c r="G37" i="1"/>
  <c r="N37" i="1" s="1"/>
  <c r="F38" i="1" l="1"/>
  <c r="W38" i="1" s="1"/>
  <c r="D8" i="10" s="1"/>
  <c r="I8" i="10" s="1"/>
  <c r="F37" i="1"/>
  <c r="E44" i="1"/>
  <c r="G43" i="1"/>
  <c r="N43" i="1" s="1"/>
  <c r="H43" i="1"/>
  <c r="O43" i="1" s="1"/>
  <c r="I43" i="1"/>
  <c r="P43" i="1" s="1"/>
  <c r="F39" i="1" l="1"/>
  <c r="F43" i="1"/>
  <c r="W37" i="1"/>
  <c r="D7" i="10" s="1"/>
  <c r="I7" i="10" s="1"/>
  <c r="H44" i="1"/>
  <c r="O44" i="1" s="1"/>
  <c r="G44" i="1"/>
  <c r="N44" i="1" s="1"/>
  <c r="E45" i="1"/>
  <c r="I44" i="1"/>
  <c r="P44" i="1" s="1"/>
  <c r="W43" i="1" l="1"/>
  <c r="F44" i="1"/>
  <c r="W44" i="1" s="1"/>
  <c r="D6" i="11" s="1"/>
  <c r="I9" i="10"/>
  <c r="H3" i="10" s="1"/>
  <c r="H45" i="1"/>
  <c r="O45" i="1" s="1"/>
  <c r="G45" i="1"/>
  <c r="N45" i="1" s="1"/>
  <c r="E46" i="1"/>
  <c r="E47" i="1" s="1"/>
  <c r="I45" i="1"/>
  <c r="P45" i="1" s="1"/>
  <c r="H47" i="1" l="1"/>
  <c r="O47" i="1" s="1"/>
  <c r="G47" i="1"/>
  <c r="N47" i="1" s="1"/>
  <c r="I47" i="1"/>
  <c r="P47" i="1" s="1"/>
  <c r="F45" i="1"/>
  <c r="W45" i="1" s="1"/>
  <c r="I46" i="1"/>
  <c r="P46" i="1" s="1"/>
  <c r="H46" i="1"/>
  <c r="O46" i="1" s="1"/>
  <c r="G46" i="1"/>
  <c r="N46" i="1" s="1"/>
  <c r="F47" i="1" l="1"/>
  <c r="W47" i="1" s="1"/>
  <c r="D8" i="11" s="1"/>
  <c r="F46" i="1"/>
  <c r="N50" i="1"/>
  <c r="O50" i="1"/>
  <c r="P50" i="1"/>
  <c r="I50" i="1"/>
  <c r="H50" i="1"/>
  <c r="G50" i="1"/>
  <c r="F48" i="1" l="1"/>
  <c r="W46" i="1"/>
  <c r="D7" i="11" s="1"/>
  <c r="I7" i="11" l="1"/>
  <c r="I8" i="11"/>
  <c r="I9" i="11"/>
  <c r="I6" i="11"/>
  <c r="H3" i="11" l="1"/>
</calcChain>
</file>

<file path=xl/sharedStrings.xml><?xml version="1.0" encoding="utf-8"?>
<sst xmlns="http://schemas.openxmlformats.org/spreadsheetml/2006/main" count="158" uniqueCount="58">
  <si>
    <t>PZN</t>
  </si>
  <si>
    <t>Faktor</t>
  </si>
  <si>
    <t>Preis</t>
  </si>
  <si>
    <t>VAXZEVRIA COVID-19-Impfstoff AstraZeneca BUND</t>
  </si>
  <si>
    <t>COMIRNATY Konz.z.Her.e.Inj.-Disp. BioNTech BUND</t>
  </si>
  <si>
    <t>COVID-19 Vaccine Janssen Injektionssuspension BUND</t>
  </si>
  <si>
    <t>Produkt</t>
  </si>
  <si>
    <t>Summe</t>
  </si>
  <si>
    <t>Apotheken-IK</t>
  </si>
  <si>
    <t>Apothekenname</t>
  </si>
  <si>
    <t>Arzt</t>
  </si>
  <si>
    <t>101 - 150 Stk</t>
  </si>
  <si>
    <t>&gt; 150 Stk</t>
  </si>
  <si>
    <t>Position</t>
  </si>
  <si>
    <t>max. Position</t>
  </si>
  <si>
    <t>POS</t>
  </si>
  <si>
    <t>Taxe</t>
  </si>
  <si>
    <t>Abgabedatum</t>
  </si>
  <si>
    <t>Impfbesteck</t>
  </si>
  <si>
    <t>Großhandel</t>
  </si>
  <si>
    <t>Vergütungsminderung Großhandel ab</t>
  </si>
  <si>
    <t>Vials</t>
  </si>
  <si>
    <t>Gesamtpreis (Brutto)</t>
  </si>
  <si>
    <t>Beleg 1</t>
  </si>
  <si>
    <t>Beleg 2</t>
  </si>
  <si>
    <t>Beleg 3</t>
  </si>
  <si>
    <t>Beleg 4</t>
  </si>
  <si>
    <t>Beleg 5</t>
  </si>
  <si>
    <t>&lt;= 100 Stk</t>
  </si>
  <si>
    <t>1.</t>
  </si>
  <si>
    <t>2.</t>
  </si>
  <si>
    <t>Prozess</t>
  </si>
  <si>
    <t>Ø</t>
  </si>
  <si>
    <t>3.</t>
  </si>
  <si>
    <t>Ausfüllen der Tabelle</t>
  </si>
  <si>
    <t>Der Faktor ist dabei jeweils die Anzahl der abgegebenen Vials.</t>
  </si>
  <si>
    <t>Die Apotheke trägt in die EXCEL-Datei ihr IK und ihren Apothekennamen in das Tabellenblatt "Datenerfassung" ein und speichert die Datei als Apotheken-Vorlage ab.</t>
  </si>
  <si>
    <t>Ausgefüllt werden ausschließlich die weißen Felder im Reiter "Datenerfassung" (Abgabedatum und Faktor). Alle anderen Felder sind für die Erfassung gesperrt.</t>
  </si>
  <si>
    <t>Unter den Reitern "Beleg 1" bis "Beleg 5" finden sich die Druckvorlagen für den Apothekenteil der bis zu 5 Impfstoffbelege für diesen Monat, die auf das jeweilige (Muster-16) Formular gedruckt werden müssen.</t>
  </si>
  <si>
    <t>Vergütungsanpassung Apotheke ab</t>
  </si>
  <si>
    <t>Einzelpreis (Netto)</t>
  </si>
  <si>
    <t>Netto</t>
  </si>
  <si>
    <t>Erstes mögliches Datum</t>
  </si>
  <si>
    <t>gerundet</t>
  </si>
  <si>
    <t>kumuliert</t>
  </si>
  <si>
    <t>Es wird ein Verzeichnis "Vorlagen" angelegt. Je Arzt wird eine Kopie der Dateivorlage eingestellt und mit dem Namen des Arztes oder mit dessen Fortbildungsnummer benannt. Der Name und/oder die Fortbildungsnummer des Arztes wird in die neue Dateivorlage in das Tabellenblatt "Datenerfassung" eingetragen. Somit ist am Ende im Vorlagenverzeichnis für jeden bekannten Arzt eine Vorlage vorhanden.</t>
  </si>
  <si>
    <t xml:space="preserve">Wird ein neuer Arzt beliefert, wird zunächst eine neue Vorlage im Vorlagenverzeichnis angelegt und danach ins entsprechende Monatsverzeichnis kopiert. </t>
  </si>
  <si>
    <t>Es müssen alle Impfstoffbelege, für die in einem Monat an einen Arzt Impfstoffe abgegeben wurden, in einer Tabelle unter dem Reiter „Datenerfassung“ erfasst werden. Nur so kann die Preisstaffel korrekt berechnet werden.</t>
  </si>
  <si>
    <t>EXCEL-Tabelle erstellt werden.</t>
  </si>
  <si>
    <t>Nun wird je Monat ein Verzeichnis angelegt (z.B. Oktober_2021). Aus dem Vorlagenverzeichnis wird die entsprechende Arzt-Vorlage in das  Monatsverzeichnis kopiert und ausgefüllt (Abgabedatum und Faktor).</t>
  </si>
  <si>
    <t>Für den ersten belieferten Impfstoffbeleg werden die Faktorfelder unter der Überschrift „Beleg 1“ ausgefüllt, für den zweiten belieferten Impfstoffbeleg werden die Faktorfelder unter der Überschrift „Beleg 2“ ausgefüllt, für das dritte die unter Impfstoffbeleg 3 usw.</t>
  </si>
  <si>
    <t>Änderung Impfbesteck</t>
  </si>
  <si>
    <t>SPIKEVAX COVID-19-Impfstoff Moderna BUND</t>
  </si>
  <si>
    <t>"Impfstoffvergütung Betriebsärzte, Ärzte des Öffentlichen Gesundheitsdienstes/</t>
  </si>
  <si>
    <t>der Impfzentren/der mobilen Impfteams (ÖGD), Ärzte in Krankenhäusern"</t>
  </si>
  <si>
    <r>
      <rPr>
        <b/>
        <u/>
        <sz val="11"/>
        <color theme="1"/>
        <rFont val="Calibri"/>
        <family val="2"/>
        <scheme val="minor"/>
      </rPr>
      <t>WICHTIG:</t>
    </r>
    <r>
      <rPr>
        <sz val="11"/>
        <color theme="1"/>
        <rFont val="Calibri"/>
        <family val="2"/>
        <scheme val="minor"/>
      </rPr>
      <t xml:space="preserve"> Es muss je Betriebsarzt, Arzt des ÖGD, Krankenhausarzt (im Folgenden nur "Arzt" genannt) und Monat eine </t>
    </r>
  </si>
  <si>
    <t>COMIRNATY 10 µg BioNTECH Kinder 5-11 Jahre BUND</t>
  </si>
  <si>
    <t>Anleitung zur Taxierungshilfe (Version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</si>
</sst>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d/mm/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ourier New"/>
      <family val="3"/>
    </font>
    <font>
      <sz val="10"/>
      <color theme="1"/>
      <name val="Courier New"/>
      <family val="3"/>
    </font>
    <font>
      <b/>
      <sz val="18"/>
      <color theme="1"/>
      <name val="Calibri"/>
      <family val="2"/>
      <scheme val="minor"/>
    </font>
    <font>
      <sz val="11"/>
      <color theme="1"/>
      <name val="Wingdings"/>
      <charset val="2"/>
    </font>
    <font>
      <b/>
      <u/>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2" borderId="0" xfId="0" applyFill="1"/>
    <xf numFmtId="0" fontId="2" fillId="2" borderId="1" xfId="0" applyFont="1" applyFill="1" applyBorder="1"/>
    <xf numFmtId="0" fontId="0" fillId="2" borderId="1" xfId="0" applyFill="1" applyBorder="1"/>
    <xf numFmtId="0" fontId="4" fillId="0" borderId="0" xfId="0" applyFont="1"/>
    <xf numFmtId="0" fontId="4" fillId="0" borderId="0" xfId="0" applyFont="1" applyAlignment="1">
      <alignment vertical="center"/>
    </xf>
    <xf numFmtId="0" fontId="0" fillId="2" borderId="2" xfId="0" applyFont="1" applyFill="1" applyBorder="1" applyAlignment="1">
      <alignment horizontal="right"/>
    </xf>
    <xf numFmtId="0" fontId="0" fillId="2" borderId="0" xfId="0" applyFont="1" applyFill="1"/>
    <xf numFmtId="0" fontId="0" fillId="2" borderId="1" xfId="0" applyFont="1" applyFill="1" applyBorder="1"/>
    <xf numFmtId="0" fontId="0" fillId="0" borderId="0" xfId="0" applyFont="1"/>
    <xf numFmtId="0" fontId="2" fillId="0" borderId="0" xfId="0" applyFont="1"/>
    <xf numFmtId="44" fontId="1" fillId="2" borderId="1" xfId="1" applyFont="1" applyFill="1" applyBorder="1"/>
    <xf numFmtId="0" fontId="5" fillId="0" borderId="0" xfId="0" applyFont="1"/>
    <xf numFmtId="0" fontId="5" fillId="0" borderId="0" xfId="0" applyFont="1" applyAlignment="1">
      <alignment horizontal="right"/>
    </xf>
    <xf numFmtId="2" fontId="5" fillId="0" borderId="0" xfId="0" applyNumberFormat="1" applyFont="1"/>
    <xf numFmtId="0" fontId="5" fillId="0" borderId="0" xfId="0" applyFont="1" applyAlignment="1">
      <alignment vertical="center"/>
    </xf>
    <xf numFmtId="0" fontId="5" fillId="0" borderId="0" xfId="0" applyFont="1" applyFill="1" applyBorder="1" applyAlignment="1">
      <alignment vertical="center"/>
    </xf>
    <xf numFmtId="1" fontId="5" fillId="0" borderId="0" xfId="0" applyNumberFormat="1" applyFont="1" applyAlignment="1">
      <alignment vertical="center"/>
    </xf>
    <xf numFmtId="164" fontId="5" fillId="0" borderId="0" xfId="0" applyNumberFormat="1" applyFont="1"/>
    <xf numFmtId="0" fontId="5" fillId="0" borderId="0" xfId="0" applyFont="1" applyAlignment="1">
      <alignment horizontal="left" vertical="center"/>
    </xf>
    <xf numFmtId="44" fontId="0" fillId="0" borderId="0" xfId="0" applyNumberFormat="1" applyFont="1"/>
    <xf numFmtId="0" fontId="5" fillId="0" borderId="0" xfId="0" applyFont="1" applyAlignment="1">
      <alignment horizontal="center"/>
    </xf>
    <xf numFmtId="0" fontId="7"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4" borderId="0" xfId="0" applyFont="1" applyFill="1"/>
    <xf numFmtId="0" fontId="5" fillId="4" borderId="0" xfId="0" applyFont="1" applyFill="1" applyAlignment="1">
      <alignment vertical="center"/>
    </xf>
    <xf numFmtId="0" fontId="5" fillId="4" borderId="1" xfId="0" applyFont="1" applyFill="1" applyBorder="1" applyAlignment="1">
      <alignment vertical="center"/>
    </xf>
    <xf numFmtId="0" fontId="0" fillId="5" borderId="0" xfId="0" applyFont="1" applyFill="1"/>
    <xf numFmtId="0" fontId="0" fillId="5" borderId="2" xfId="0" applyFont="1" applyFill="1" applyBorder="1" applyAlignment="1">
      <alignment horizontal="right"/>
    </xf>
    <xf numFmtId="0" fontId="0" fillId="5" borderId="2" xfId="0" applyFont="1" applyFill="1" applyBorder="1" applyAlignment="1"/>
    <xf numFmtId="0" fontId="2" fillId="5" borderId="1" xfId="0" applyFont="1" applyFill="1" applyBorder="1"/>
    <xf numFmtId="0" fontId="0" fillId="5" borderId="1" xfId="0" applyFont="1" applyFill="1" applyBorder="1"/>
    <xf numFmtId="0" fontId="0" fillId="5" borderId="0" xfId="0" applyFill="1"/>
    <xf numFmtId="14" fontId="0" fillId="5" borderId="0" xfId="0" applyNumberFormat="1" applyFill="1"/>
    <xf numFmtId="44" fontId="0" fillId="5" borderId="0" xfId="1" applyFont="1" applyFill="1"/>
    <xf numFmtId="14" fontId="0" fillId="5" borderId="0" xfId="1" applyNumberFormat="1" applyFont="1" applyFill="1"/>
    <xf numFmtId="0" fontId="0" fillId="5" borderId="0" xfId="0" applyFill="1" applyAlignment="1">
      <alignment horizontal="center"/>
    </xf>
    <xf numFmtId="0" fontId="2" fillId="5" borderId="3" xfId="0" quotePrefix="1" applyFont="1" applyFill="1" applyBorder="1"/>
    <xf numFmtId="44" fontId="2" fillId="5" borderId="3" xfId="1" quotePrefix="1" applyFont="1" applyFill="1" applyBorder="1"/>
    <xf numFmtId="44" fontId="2" fillId="5" borderId="3" xfId="1" applyFont="1" applyFill="1" applyBorder="1"/>
    <xf numFmtId="0" fontId="2" fillId="5" borderId="0" xfId="0" applyFont="1" applyFill="1"/>
    <xf numFmtId="44" fontId="0" fillId="5" borderId="0" xfId="0" applyNumberFormat="1" applyFill="1"/>
    <xf numFmtId="44" fontId="2" fillId="5" borderId="0" xfId="1" applyFont="1" applyFill="1"/>
    <xf numFmtId="0" fontId="2" fillId="2" borderId="0" xfId="0" applyFont="1" applyFill="1"/>
    <xf numFmtId="0" fontId="0" fillId="0" borderId="0" xfId="0" applyProtection="1">
      <protection locked="0"/>
    </xf>
    <xf numFmtId="0" fontId="0" fillId="0" borderId="1" xfId="0" applyFont="1" applyBorder="1" applyProtection="1">
      <protection locked="0"/>
    </xf>
    <xf numFmtId="14" fontId="0" fillId="0" borderId="2" xfId="0" applyNumberFormat="1" applyFont="1" applyFill="1" applyBorder="1" applyAlignment="1" applyProtection="1">
      <protection locked="0"/>
    </xf>
    <xf numFmtId="0" fontId="6" fillId="0" borderId="0" xfId="0" applyFont="1" applyAlignment="1">
      <alignment horizontal="center"/>
    </xf>
    <xf numFmtId="0" fontId="3" fillId="2" borderId="2" xfId="0" applyFont="1" applyFill="1" applyBorder="1" applyAlignment="1">
      <alignment horizontal="center"/>
    </xf>
    <xf numFmtId="0" fontId="0" fillId="5" borderId="0" xfId="0" applyFill="1" applyAlignment="1">
      <alignment horizontal="center"/>
    </xf>
    <xf numFmtId="44" fontId="0" fillId="5" borderId="0" xfId="1" applyFont="1" applyFill="1" applyAlignment="1">
      <alignment horizontal="center"/>
    </xf>
    <xf numFmtId="0" fontId="0" fillId="5" borderId="0" xfId="0" applyFill="1" applyAlignment="1">
      <alignment horizontal="left"/>
    </xf>
    <xf numFmtId="0" fontId="0" fillId="2" borderId="0" xfId="0" applyFont="1" applyFill="1" applyAlignment="1">
      <alignment horizontal="left"/>
    </xf>
    <xf numFmtId="0" fontId="0" fillId="3" borderId="0" xfId="0" applyFont="1" applyFill="1" applyAlignment="1" applyProtection="1">
      <alignment horizontal="left"/>
      <protection locked="0"/>
    </xf>
    <xf numFmtId="2" fontId="5" fillId="0" borderId="0" xfId="0" applyNumberFormat="1" applyFont="1" applyAlignment="1">
      <alignment horizontal="righ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D20"/>
  <sheetViews>
    <sheetView zoomScaleNormal="100" workbookViewId="0">
      <selection activeCell="E6" sqref="E6"/>
    </sheetView>
  </sheetViews>
  <sheetFormatPr baseColWidth="10" defaultRowHeight="15" x14ac:dyDescent="0.25"/>
  <cols>
    <col min="1" max="1" width="5.42578125" customWidth="1"/>
    <col min="2" max="2" width="2.5703125" bestFit="1" customWidth="1"/>
    <col min="3" max="3" width="5.28515625" customWidth="1"/>
    <col min="4" max="4" width="110.140625" customWidth="1"/>
  </cols>
  <sheetData>
    <row r="2" spans="1:4" ht="23.25" x14ac:dyDescent="0.35">
      <c r="A2" s="48" t="s">
        <v>57</v>
      </c>
      <c r="B2" s="48"/>
      <c r="C2" s="48"/>
      <c r="D2" s="48"/>
    </row>
    <row r="3" spans="1:4" ht="24" customHeight="1" x14ac:dyDescent="0.35">
      <c r="A3" s="48" t="s">
        <v>53</v>
      </c>
      <c r="B3" s="48"/>
      <c r="C3" s="48"/>
      <c r="D3" s="48"/>
    </row>
    <row r="4" spans="1:4" ht="24" customHeight="1" x14ac:dyDescent="0.35">
      <c r="A4" s="48" t="s">
        <v>54</v>
      </c>
      <c r="B4" s="48"/>
      <c r="C4" s="48"/>
      <c r="D4" s="48"/>
    </row>
    <row r="6" spans="1:4" x14ac:dyDescent="0.25">
      <c r="B6" t="s">
        <v>29</v>
      </c>
      <c r="C6" t="s">
        <v>55</v>
      </c>
    </row>
    <row r="7" spans="1:4" x14ac:dyDescent="0.25">
      <c r="C7" t="s">
        <v>48</v>
      </c>
    </row>
    <row r="9" spans="1:4" x14ac:dyDescent="0.25">
      <c r="B9" t="s">
        <v>30</v>
      </c>
      <c r="C9" t="s">
        <v>31</v>
      </c>
    </row>
    <row r="10" spans="1:4" ht="30" x14ac:dyDescent="0.25">
      <c r="C10" s="22" t="s">
        <v>32</v>
      </c>
      <c r="D10" s="23" t="s">
        <v>36</v>
      </c>
    </row>
    <row r="11" spans="1:4" ht="60" x14ac:dyDescent="0.25">
      <c r="C11" s="22" t="s">
        <v>32</v>
      </c>
      <c r="D11" s="23" t="s">
        <v>45</v>
      </c>
    </row>
    <row r="12" spans="1:4" ht="30" x14ac:dyDescent="0.25">
      <c r="C12" s="22" t="s">
        <v>32</v>
      </c>
      <c r="D12" s="23" t="s">
        <v>49</v>
      </c>
    </row>
    <row r="13" spans="1:4" ht="30" x14ac:dyDescent="0.25">
      <c r="C13" s="22" t="s">
        <v>32</v>
      </c>
      <c r="D13" s="23" t="s">
        <v>46</v>
      </c>
    </row>
    <row r="15" spans="1:4" x14ac:dyDescent="0.25">
      <c r="B15" t="s">
        <v>33</v>
      </c>
      <c r="C15" s="24" t="s">
        <v>34</v>
      </c>
    </row>
    <row r="16" spans="1:4" ht="30" x14ac:dyDescent="0.25">
      <c r="C16" s="22" t="s">
        <v>32</v>
      </c>
      <c r="D16" s="23" t="s">
        <v>37</v>
      </c>
    </row>
    <row r="17" spans="3:4" ht="30" x14ac:dyDescent="0.25">
      <c r="C17" s="22" t="s">
        <v>32</v>
      </c>
      <c r="D17" s="23" t="s">
        <v>47</v>
      </c>
    </row>
    <row r="18" spans="3:4" ht="45" x14ac:dyDescent="0.25">
      <c r="C18" s="22" t="s">
        <v>32</v>
      </c>
      <c r="D18" s="23" t="s">
        <v>50</v>
      </c>
    </row>
    <row r="19" spans="3:4" x14ac:dyDescent="0.25">
      <c r="C19" s="22" t="s">
        <v>32</v>
      </c>
      <c r="D19" t="s">
        <v>35</v>
      </c>
    </row>
    <row r="20" spans="3:4" ht="30" x14ac:dyDescent="0.25">
      <c r="C20" s="22" t="s">
        <v>32</v>
      </c>
      <c r="D20" s="23" t="s">
        <v>38</v>
      </c>
    </row>
  </sheetData>
  <sheetProtection algorithmName="SHA-512" hashValue="l1oozF+iWMZ/boWKqHJ4MiRX0jJsDzXneZrAlyW5Ya4Kjxb8NY1MhusVaBIavV+23RggDTgl0XCHpq3MwZH3dQ==" saltValue="xUct8Gi8WTu14XascikeJA==" spinCount="100000" sheet="1" objects="1" scenarios="1" selectLockedCells="1" selectUnlockedCells="1"/>
  <mergeCells count="3">
    <mergeCell ref="A2:D2"/>
    <mergeCell ref="A3:D3"/>
    <mergeCell ref="A4:D4"/>
  </mergeCells>
  <pageMargins left="0.7" right="0.7" top="0.78740157499999996" bottom="0.78740157499999996" header="0.3" footer="0.3"/>
  <pageSetup paperSize="9" scale="67"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0"/>
  <sheetViews>
    <sheetView tabSelected="1" zoomScaleNormal="100" workbookViewId="0">
      <selection activeCell="A2" sqref="A2"/>
    </sheetView>
  </sheetViews>
  <sheetFormatPr baseColWidth="10" defaultRowHeight="15" x14ac:dyDescent="0.25"/>
  <cols>
    <col min="1" max="1" width="13.28515625" bestFit="1" customWidth="1"/>
    <col min="2" max="2" width="50.85546875" bestFit="1" customWidth="1"/>
    <col min="3" max="3" width="13.140625" style="9" customWidth="1"/>
    <col min="4" max="5" width="13.140625" style="28" hidden="1" customWidth="1"/>
    <col min="6" max="6" width="13.140625" style="9" customWidth="1"/>
    <col min="7" max="13" width="11.42578125" style="33" hidden="1" customWidth="1"/>
    <col min="14" max="15" width="11.42578125" style="35" hidden="1" customWidth="1"/>
    <col min="16" max="16" width="10" style="35" hidden="1" customWidth="1"/>
    <col min="17" max="18" width="11.42578125" style="35" hidden="1" customWidth="1"/>
    <col min="19" max="22" width="11.42578125" style="33" hidden="1" customWidth="1"/>
    <col min="23" max="23" width="12" style="33" hidden="1" customWidth="1"/>
    <col min="24" max="24" width="66" customWidth="1"/>
  </cols>
  <sheetData>
    <row r="1" spans="1:24" x14ac:dyDescent="0.25">
      <c r="A1" s="1" t="s">
        <v>8</v>
      </c>
      <c r="B1" s="1" t="s">
        <v>9</v>
      </c>
      <c r="C1" s="53" t="s">
        <v>10</v>
      </c>
      <c r="D1" s="53"/>
      <c r="E1" s="53"/>
      <c r="F1" s="53"/>
      <c r="G1" s="52" t="s">
        <v>20</v>
      </c>
      <c r="H1" s="52"/>
      <c r="I1" s="52"/>
      <c r="K1" s="34">
        <v>44396</v>
      </c>
      <c r="M1" s="35"/>
      <c r="R1" s="33"/>
      <c r="X1" s="1"/>
    </row>
    <row r="2" spans="1:24" x14ac:dyDescent="0.25">
      <c r="A2" s="45"/>
      <c r="B2" s="45"/>
      <c r="C2" s="54"/>
      <c r="D2" s="54"/>
      <c r="E2" s="54"/>
      <c r="F2" s="54"/>
      <c r="G2" s="52" t="s">
        <v>39</v>
      </c>
      <c r="H2" s="52"/>
      <c r="I2" s="52"/>
      <c r="K2" s="36">
        <v>44389</v>
      </c>
      <c r="L2" s="35"/>
      <c r="M2" s="35"/>
      <c r="P2" s="33"/>
      <c r="Q2" s="33"/>
      <c r="R2" s="33"/>
      <c r="X2" s="1"/>
    </row>
    <row r="3" spans="1:24" x14ac:dyDescent="0.25">
      <c r="A3" s="1"/>
      <c r="B3" s="1"/>
      <c r="C3" s="7"/>
      <c r="F3" s="7"/>
      <c r="G3" s="52" t="s">
        <v>42</v>
      </c>
      <c r="H3" s="52"/>
      <c r="I3" s="52"/>
      <c r="K3" s="34">
        <v>44347</v>
      </c>
      <c r="X3" s="1"/>
    </row>
    <row r="4" spans="1:24" x14ac:dyDescent="0.25">
      <c r="A4" s="1"/>
      <c r="B4" s="1"/>
      <c r="C4" s="7"/>
      <c r="F4" s="7"/>
      <c r="G4" s="52" t="s">
        <v>51</v>
      </c>
      <c r="H4" s="52"/>
      <c r="I4" s="52"/>
      <c r="K4" s="34">
        <v>44516</v>
      </c>
      <c r="X4" s="1"/>
    </row>
    <row r="5" spans="1:24" ht="15.75" x14ac:dyDescent="0.25">
      <c r="A5" s="49" t="s">
        <v>23</v>
      </c>
      <c r="B5" s="49"/>
      <c r="C5" s="6" t="s">
        <v>17</v>
      </c>
      <c r="D5" s="29"/>
      <c r="E5" s="30"/>
      <c r="F5" s="47"/>
      <c r="G5" s="50" t="s">
        <v>21</v>
      </c>
      <c r="H5" s="50"/>
      <c r="I5" s="50"/>
      <c r="J5" s="37"/>
      <c r="K5" s="51" t="s">
        <v>40</v>
      </c>
      <c r="L5" s="51"/>
      <c r="M5" s="51"/>
      <c r="N5" s="51" t="s">
        <v>22</v>
      </c>
      <c r="O5" s="51"/>
      <c r="P5" s="51"/>
      <c r="Q5" s="51" t="s">
        <v>41</v>
      </c>
      <c r="R5" s="51"/>
      <c r="X5" s="1" t="str">
        <f>IF(F5&lt;$K$3, "Eine Belieferung der Ärzte kann erst ab dem 31.05.2021 erfolgen", "")</f>
        <v>Eine Belieferung der Ärzte kann erst ab dem 31.05.2021 erfolgen</v>
      </c>
    </row>
    <row r="6" spans="1:24" s="10" customFormat="1" x14ac:dyDescent="0.25">
      <c r="A6" s="2" t="s">
        <v>0</v>
      </c>
      <c r="B6" s="2" t="s">
        <v>6</v>
      </c>
      <c r="C6" s="2" t="s">
        <v>1</v>
      </c>
      <c r="D6" s="31" t="s">
        <v>43</v>
      </c>
      <c r="E6" s="31" t="s">
        <v>44</v>
      </c>
      <c r="F6" s="2" t="s">
        <v>2</v>
      </c>
      <c r="G6" s="38" t="s">
        <v>28</v>
      </c>
      <c r="H6" s="38" t="s">
        <v>11</v>
      </c>
      <c r="I6" s="38" t="s">
        <v>12</v>
      </c>
      <c r="J6" s="38" t="s">
        <v>17</v>
      </c>
      <c r="K6" s="39" t="s">
        <v>28</v>
      </c>
      <c r="L6" s="39" t="s">
        <v>11</v>
      </c>
      <c r="M6" s="39" t="s">
        <v>12</v>
      </c>
      <c r="N6" s="39" t="s">
        <v>28</v>
      </c>
      <c r="O6" s="39" t="s">
        <v>11</v>
      </c>
      <c r="P6" s="39" t="s">
        <v>12</v>
      </c>
      <c r="Q6" s="39" t="s">
        <v>18</v>
      </c>
      <c r="R6" s="39" t="s">
        <v>19</v>
      </c>
      <c r="S6" s="40" t="s">
        <v>13</v>
      </c>
      <c r="T6" s="40" t="s">
        <v>14</v>
      </c>
      <c r="U6" s="41"/>
      <c r="V6" s="41"/>
      <c r="W6" s="41"/>
      <c r="X6" s="44"/>
    </row>
    <row r="7" spans="1:24" x14ac:dyDescent="0.25">
      <c r="A7" s="3">
        <v>17377625</v>
      </c>
      <c r="B7" s="3" t="s">
        <v>3</v>
      </c>
      <c r="C7" s="46"/>
      <c r="D7" s="32">
        <f>ROUND(C7,0)</f>
        <v>0</v>
      </c>
      <c r="E7" s="32">
        <f>C7</f>
        <v>0</v>
      </c>
      <c r="F7" s="11" t="str">
        <f>IF(AND(C7&gt;0,X7="",J7&gt;=$K$3), N7+O7+P7, "")</f>
        <v/>
      </c>
      <c r="G7" s="33">
        <f>IF(E7&lt;100,C7,IF(E7-C7&gt;100,0,MIN(100-(E7-C7))))</f>
        <v>0</v>
      </c>
      <c r="H7" s="33">
        <f>IF(E7&lt;=100,0,IF(E7-C7&gt;150,0,MIN(150,E7)-MAX(100,E7-C7)))</f>
        <v>0</v>
      </c>
      <c r="I7" s="33">
        <f>IF(E7&lt;=150,0,E7-MAX(150,E7-C7))</f>
        <v>0</v>
      </c>
      <c r="J7" s="34">
        <f>F5</f>
        <v>0</v>
      </c>
      <c r="K7" s="33" t="str">
        <f>IF($J7&lt;$K$3, "", IF($J7&lt;$K$2,6.58,7.58))</f>
        <v/>
      </c>
      <c r="L7" s="33" t="str">
        <f>IF($J7&lt;$K$3, "", IF($J7&lt;$K$2,4.28,4.92))</f>
        <v/>
      </c>
      <c r="M7" s="33" t="str">
        <f>IF($J7&lt;$K$3, "", IF($J7&lt;$K$2,2.19,2.52))</f>
        <v/>
      </c>
      <c r="N7" s="35" t="str">
        <f>IF($J7&lt;$K$3, "",G7*ROUND((K7+$Q7+$R7)*1.19,2))</f>
        <v/>
      </c>
      <c r="O7" s="35" t="str">
        <f t="shared" ref="O7:P7" si="0">IF($J7&lt;$K$3, "",H7*ROUND((L7+$Q7+$R7)*1.19,2))</f>
        <v/>
      </c>
      <c r="P7" s="35" t="str">
        <f t="shared" si="0"/>
        <v/>
      </c>
      <c r="Q7" s="35">
        <f>IF(J7&lt;$K$4,1.65,1.4)</f>
        <v>1.65</v>
      </c>
      <c r="R7" s="35">
        <f>IF(F$5&lt;$K$1,8.6,7.45)</f>
        <v>8.6</v>
      </c>
      <c r="S7" s="33">
        <f>IF(C7&gt;0,1,0)</f>
        <v>0</v>
      </c>
      <c r="T7" s="33">
        <f>S7</f>
        <v>0</v>
      </c>
      <c r="U7" s="33" t="str">
        <f>IF(S7&gt;0,A7,"")</f>
        <v/>
      </c>
      <c r="V7" s="33" t="str">
        <f>IF(S7&gt;0,C7,"")</f>
        <v/>
      </c>
      <c r="W7" s="42" t="str">
        <f>IF(S7&gt;0,F7,"")</f>
        <v/>
      </c>
      <c r="X7" s="1" t="str">
        <f t="shared" ref="X7:X9" si="1">IF(AND(C7&lt;&gt;0,T7&gt;3),"Es dürfen maximal 3 Positionen auf einem Rezept gedruckt werden!","")</f>
        <v/>
      </c>
    </row>
    <row r="8" spans="1:24" x14ac:dyDescent="0.25">
      <c r="A8" s="3">
        <v>17377588</v>
      </c>
      <c r="B8" s="3" t="s">
        <v>4</v>
      </c>
      <c r="C8" s="46"/>
      <c r="D8" s="32">
        <f t="shared" ref="D8:D11" si="2">ROUND(C8,0)</f>
        <v>0</v>
      </c>
      <c r="E8" s="32">
        <f>E7+C8</f>
        <v>0</v>
      </c>
      <c r="F8" s="11" t="str">
        <f t="shared" ref="F8:F11" si="3">IF(AND(C8&gt;0,X8="",J8&gt;=$K$3), N8+O8+P8, "")</f>
        <v/>
      </c>
      <c r="G8" s="33">
        <f>IF(E8&lt;100,C8,IF(E8-C8&gt;100,0,MIN(100-(E8-C8))))</f>
        <v>0</v>
      </c>
      <c r="H8" s="33">
        <f>IF(E8&lt;=100,0,IF(E8-C8&gt;150,0,MIN(150,E8)-MAX(100,E8-C8)))</f>
        <v>0</v>
      </c>
      <c r="I8" s="33">
        <f>IF(E8&lt;=150,0,E8-MAX(150,E8-C8))</f>
        <v>0</v>
      </c>
      <c r="J8" s="34">
        <f>F5</f>
        <v>0</v>
      </c>
      <c r="K8" s="33" t="str">
        <f t="shared" ref="K8:K11" si="4">IF($J8&lt;$K$3, "", IF($J8&lt;$K$2,6.58,7.58))</f>
        <v/>
      </c>
      <c r="L8" s="33" t="str">
        <f t="shared" ref="L8:L11" si="5">IF($J8&lt;$K$3, "", IF($J8&lt;$K$2,4.28,4.92))</f>
        <v/>
      </c>
      <c r="M8" s="33" t="str">
        <f t="shared" ref="M8:M11" si="6">IF($J8&lt;$K$3, "", IF($J8&lt;$K$2,2.19,2.52))</f>
        <v/>
      </c>
      <c r="N8" s="35" t="str">
        <f t="shared" ref="N8:N11" si="7">IF($J8&lt;$K$3, "",G8*ROUND((K8+$Q8+$R8)*1.19,2))</f>
        <v/>
      </c>
      <c r="O8" s="35" t="str">
        <f t="shared" ref="O8:O11" si="8">IF($J8&lt;$K$3, "",H8*ROUND((L8+$Q8+$R8)*1.19,2))</f>
        <v/>
      </c>
      <c r="P8" s="35" t="str">
        <f t="shared" ref="P8:P11" si="9">IF($J8&lt;$K$3, "",I8*ROUND((M8+$Q8+$R8)*1.19,2))</f>
        <v/>
      </c>
      <c r="Q8" s="35">
        <f t="shared" ref="Q8:Q11" si="10">IF(J8&lt;$K$4,1.65,1.4)</f>
        <v>1.65</v>
      </c>
      <c r="R8" s="35">
        <f>IF(F$5&lt;$K$1,8.6,7.45)</f>
        <v>8.6</v>
      </c>
      <c r="S8" s="33">
        <f>IF(C8&gt;0,T7+1,0)</f>
        <v>0</v>
      </c>
      <c r="T8" s="33">
        <f>IF(C8&gt;0,T7+1,T7)</f>
        <v>0</v>
      </c>
      <c r="U8" s="33" t="str">
        <f>IF(S8&gt;0,A8,"")</f>
        <v/>
      </c>
      <c r="V8" s="33" t="str">
        <f>IF(S8&gt;0,C8,"")</f>
        <v/>
      </c>
      <c r="W8" s="42" t="str">
        <f>IF(S8&gt;0,F8,"")</f>
        <v/>
      </c>
      <c r="X8" s="1" t="str">
        <f t="shared" si="1"/>
        <v/>
      </c>
    </row>
    <row r="9" spans="1:24" x14ac:dyDescent="0.25">
      <c r="A9" s="3">
        <v>17377602</v>
      </c>
      <c r="B9" s="3" t="s">
        <v>52</v>
      </c>
      <c r="C9" s="46"/>
      <c r="D9" s="32">
        <f t="shared" si="2"/>
        <v>0</v>
      </c>
      <c r="E9" s="32">
        <f>E8+C9</f>
        <v>0</v>
      </c>
      <c r="F9" s="11" t="str">
        <f t="shared" si="3"/>
        <v/>
      </c>
      <c r="G9" s="33">
        <f>IF(E9&lt;100,C9,IF(E9-C9&gt;100,0,MIN(100-(E9-C9))))</f>
        <v>0</v>
      </c>
      <c r="H9" s="33">
        <f>IF(E9&lt;=100,0,IF(E9-C9&gt;150,0,MIN(150,E9)-MAX(100,E9-C9)))</f>
        <v>0</v>
      </c>
      <c r="I9" s="33">
        <f>IF(E9&lt;=150,0,E9-MAX(150,E9-C9))</f>
        <v>0</v>
      </c>
      <c r="J9" s="34">
        <f>F5</f>
        <v>0</v>
      </c>
      <c r="K9" s="33" t="str">
        <f t="shared" si="4"/>
        <v/>
      </c>
      <c r="L9" s="33" t="str">
        <f t="shared" si="5"/>
        <v/>
      </c>
      <c r="M9" s="33" t="str">
        <f t="shared" si="6"/>
        <v/>
      </c>
      <c r="N9" s="35" t="str">
        <f t="shared" si="7"/>
        <v/>
      </c>
      <c r="O9" s="35" t="str">
        <f t="shared" si="8"/>
        <v/>
      </c>
      <c r="P9" s="35" t="str">
        <f t="shared" si="9"/>
        <v/>
      </c>
      <c r="Q9" s="35">
        <f>IF(J9&lt;$K$4,1.65,2.8)</f>
        <v>1.65</v>
      </c>
      <c r="R9" s="35">
        <f>IF(F$5&lt;$K$1,8.6,7.45)</f>
        <v>8.6</v>
      </c>
      <c r="S9" s="33">
        <f t="shared" ref="S9:S11" si="11">IF(C9&gt;0,T8+1,0)</f>
        <v>0</v>
      </c>
      <c r="T9" s="33">
        <f>IF(C9&gt;0,T8+1,T8)</f>
        <v>0</v>
      </c>
      <c r="U9" s="33" t="str">
        <f>IF(S9&gt;0,A9,"")</f>
        <v/>
      </c>
      <c r="V9" s="33" t="str">
        <f>IF(S9&gt;0,C9,"")</f>
        <v/>
      </c>
      <c r="W9" s="42" t="str">
        <f>IF(S9&gt;0,F9,"")</f>
        <v/>
      </c>
      <c r="X9" s="1" t="str">
        <f t="shared" si="1"/>
        <v/>
      </c>
    </row>
    <row r="10" spans="1:24" x14ac:dyDescent="0.25">
      <c r="A10" s="3">
        <v>17377648</v>
      </c>
      <c r="B10" s="3" t="s">
        <v>5</v>
      </c>
      <c r="C10" s="46"/>
      <c r="D10" s="32">
        <f t="shared" si="2"/>
        <v>0</v>
      </c>
      <c r="E10" s="32">
        <f t="shared" ref="E10:E11" si="12">E9+C10</f>
        <v>0</v>
      </c>
      <c r="F10" s="11" t="str">
        <f t="shared" ref="F10" si="13">IF(AND(C10&gt;0,X10="",J10&gt;=$K$3), N10+O10+P10, "")</f>
        <v/>
      </c>
      <c r="G10" s="33">
        <f>IF(E10&lt;100,C10,IF(E10-C10&gt;100,0,MIN(100-(E10-C10))))</f>
        <v>0</v>
      </c>
      <c r="H10" s="33">
        <f>IF(E10&lt;=100,0,IF(E10-C10&gt;150,0,MIN(150,E10)-MAX(100,E10-C10)))</f>
        <v>0</v>
      </c>
      <c r="I10" s="33">
        <f>IF(E10&lt;=150,0,E10-MAX(150,E10-C10))</f>
        <v>0</v>
      </c>
      <c r="J10" s="34">
        <f>F5</f>
        <v>0</v>
      </c>
      <c r="K10" s="33" t="str">
        <f t="shared" si="4"/>
        <v/>
      </c>
      <c r="L10" s="33" t="str">
        <f t="shared" si="5"/>
        <v/>
      </c>
      <c r="M10" s="33" t="str">
        <f t="shared" si="6"/>
        <v/>
      </c>
      <c r="N10" s="35" t="str">
        <f t="shared" ref="N10" si="14">IF($J10&lt;$K$3, "",G10*ROUND((K10+$Q10+$R10)*1.19,2))</f>
        <v/>
      </c>
      <c r="O10" s="35" t="str">
        <f t="shared" ref="O10" si="15">IF($J10&lt;$K$3, "",H10*ROUND((L10+$Q10+$R10)*1.19,2))</f>
        <v/>
      </c>
      <c r="P10" s="35" t="str">
        <f t="shared" ref="P10" si="16">IF($J10&lt;$K$3, "",I10*ROUND((M10+$Q10+$R10)*1.19,2))</f>
        <v/>
      </c>
      <c r="Q10" s="35">
        <f t="shared" ref="Q10" si="17">IF(J10&lt;$K$4,1.65,1.4)</f>
        <v>1.65</v>
      </c>
      <c r="R10" s="35">
        <f>IF(F$5&lt;$K$1,8.6,7.45)</f>
        <v>8.6</v>
      </c>
      <c r="S10" s="33">
        <f t="shared" si="11"/>
        <v>0</v>
      </c>
      <c r="T10" s="33">
        <f t="shared" ref="T10:T11" si="18">IF(C10&gt;0,T9+1,T9)</f>
        <v>0</v>
      </c>
      <c r="U10" s="33" t="str">
        <f>IF(S10&gt;0,A10,"")</f>
        <v/>
      </c>
      <c r="V10" s="33" t="str">
        <f>IF(S10&gt;0,C10,"")</f>
        <v/>
      </c>
      <c r="W10" s="42" t="str">
        <f>IF(S10&gt;0,F10,"")</f>
        <v/>
      </c>
      <c r="X10" s="1" t="str">
        <f>IF(AND(C10&lt;&gt;0,T10&gt;3),"Es dürfen maximal 3 Positionen auf einem Rezept gedruckt werden!","")</f>
        <v/>
      </c>
    </row>
    <row r="11" spans="1:24" x14ac:dyDescent="0.25">
      <c r="A11" s="3">
        <v>17895975</v>
      </c>
      <c r="B11" s="3" t="s">
        <v>56</v>
      </c>
      <c r="C11" s="46"/>
      <c r="D11" s="32">
        <f t="shared" si="2"/>
        <v>0</v>
      </c>
      <c r="E11" s="32">
        <f t="shared" si="12"/>
        <v>0</v>
      </c>
      <c r="F11" s="11" t="str">
        <f t="shared" si="3"/>
        <v/>
      </c>
      <c r="G11" s="33">
        <f>IF(E11&lt;100,C11,IF(E11-C11&gt;100,0,MIN(100-(E11-C11))))</f>
        <v>0</v>
      </c>
      <c r="H11" s="33">
        <f>IF(E11&lt;=100,0,IF(E11-C11&gt;150,0,MIN(150,E11)-MAX(100,E11-C11)))</f>
        <v>0</v>
      </c>
      <c r="I11" s="33">
        <f>IF(E11&lt;=150,0,E11-MAX(150,E11-C11))</f>
        <v>0</v>
      </c>
      <c r="J11" s="34">
        <f>F5</f>
        <v>0</v>
      </c>
      <c r="K11" s="33" t="str">
        <f t="shared" si="4"/>
        <v/>
      </c>
      <c r="L11" s="33" t="str">
        <f t="shared" si="5"/>
        <v/>
      </c>
      <c r="M11" s="33" t="str">
        <f t="shared" si="6"/>
        <v/>
      </c>
      <c r="N11" s="35" t="str">
        <f t="shared" si="7"/>
        <v/>
      </c>
      <c r="O11" s="35" t="str">
        <f t="shared" si="8"/>
        <v/>
      </c>
      <c r="P11" s="35" t="str">
        <f t="shared" si="9"/>
        <v/>
      </c>
      <c r="Q11" s="35">
        <f t="shared" si="10"/>
        <v>1.65</v>
      </c>
      <c r="R11" s="35">
        <f>IF(F$5&lt;$K$1,8.6,7.45)</f>
        <v>8.6</v>
      </c>
      <c r="S11" s="33">
        <f t="shared" si="11"/>
        <v>0</v>
      </c>
      <c r="T11" s="33">
        <f t="shared" si="18"/>
        <v>0</v>
      </c>
      <c r="U11" s="33" t="str">
        <f>IF(S11&gt;0,A11,"")</f>
        <v/>
      </c>
      <c r="V11" s="33" t="str">
        <f>IF(S11&gt;0,C11,"")</f>
        <v/>
      </c>
      <c r="W11" s="42" t="str">
        <f>IF(S11&gt;0,F11,"")</f>
        <v/>
      </c>
      <c r="X11" s="1" t="str">
        <f>IF(AND(C11&lt;&gt;0,T11&gt;3),"Es dürfen maximal 3 Positionen auf einem Rezept gedruckt werden!","")</f>
        <v/>
      </c>
    </row>
    <row r="12" spans="1:24" x14ac:dyDescent="0.25">
      <c r="A12" s="3"/>
      <c r="B12" s="2" t="s">
        <v>7</v>
      </c>
      <c r="C12" s="8">
        <f>SUM(C7:C11)</f>
        <v>0</v>
      </c>
      <c r="D12" s="32"/>
      <c r="E12" s="32"/>
      <c r="F12" s="11">
        <f>SUM(F7:F11)</f>
        <v>0</v>
      </c>
      <c r="X12" s="1"/>
    </row>
    <row r="13" spans="1:24" x14ac:dyDescent="0.25">
      <c r="A13" s="1"/>
      <c r="B13" s="1"/>
      <c r="C13" s="7"/>
      <c r="F13" s="7"/>
      <c r="X13" s="1"/>
    </row>
    <row r="14" spans="1:24" ht="15.75" x14ac:dyDescent="0.25">
      <c r="A14" s="49" t="s">
        <v>24</v>
      </c>
      <c r="B14" s="49"/>
      <c r="C14" s="6" t="s">
        <v>17</v>
      </c>
      <c r="D14" s="29"/>
      <c r="E14" s="30"/>
      <c r="F14" s="47"/>
      <c r="X14" s="1" t="str">
        <f>IF(F14&lt;$K$3, "Eine Belieferung der Ärzte kann erst ab dem 31.05.2021 erfolgen", "")</f>
        <v>Eine Belieferung der Ärzte kann erst ab dem 31.05.2021 erfolgen</v>
      </c>
    </row>
    <row r="15" spans="1:24" s="10" customFormat="1" x14ac:dyDescent="0.25">
      <c r="A15" s="2" t="s">
        <v>0</v>
      </c>
      <c r="B15" s="2" t="s">
        <v>6</v>
      </c>
      <c r="C15" s="2" t="s">
        <v>1</v>
      </c>
      <c r="D15" s="31" t="s">
        <v>43</v>
      </c>
      <c r="E15" s="31" t="s">
        <v>44</v>
      </c>
      <c r="F15" s="2" t="s">
        <v>2</v>
      </c>
      <c r="G15" s="41"/>
      <c r="H15" s="41"/>
      <c r="I15" s="41"/>
      <c r="J15" s="41"/>
      <c r="K15" s="41"/>
      <c r="L15" s="41"/>
      <c r="M15" s="41"/>
      <c r="N15" s="43"/>
      <c r="O15" s="43"/>
      <c r="P15" s="43"/>
      <c r="Q15" s="43"/>
      <c r="R15" s="43"/>
      <c r="S15" s="41"/>
      <c r="T15" s="41"/>
      <c r="U15" s="41"/>
      <c r="V15" s="41"/>
      <c r="W15" s="41"/>
      <c r="X15" s="44"/>
    </row>
    <row r="16" spans="1:24" x14ac:dyDescent="0.25">
      <c r="A16" s="3">
        <v>17377625</v>
      </c>
      <c r="B16" s="3" t="s">
        <v>3</v>
      </c>
      <c r="C16" s="46"/>
      <c r="D16" s="32">
        <f>ROUND(C16,0)</f>
        <v>0</v>
      </c>
      <c r="E16" s="32">
        <f>E11+C16</f>
        <v>0</v>
      </c>
      <c r="F16" s="11" t="str">
        <f>IF(AND(C16&gt;0,X16="",J16&gt;=$K$3), N16+O16+P16, "")</f>
        <v/>
      </c>
      <c r="G16" s="33">
        <f>IF(E16&lt;100,C16,IF(E16-C16&gt;100,0,MIN(100-(E16-C16))))</f>
        <v>0</v>
      </c>
      <c r="H16" s="33">
        <f>IF(E16&lt;=100,0,IF(E16-C16&gt;150,0,MIN(150,E16)-MAX(100,E16-C16)))</f>
        <v>0</v>
      </c>
      <c r="I16" s="33">
        <f>IF(E16&lt;=150,0,E16-MAX(150,E16-C16))</f>
        <v>0</v>
      </c>
      <c r="J16" s="34">
        <f>F14</f>
        <v>0</v>
      </c>
      <c r="K16" s="33" t="str">
        <f>IF($J16&lt;$K$3, "", IF($J16&lt;$K$2,6.58,7.58))</f>
        <v/>
      </c>
      <c r="L16" s="33" t="str">
        <f>IF($J16&lt;$K$3, "", IF($J16&lt;$K$2,4.28,4.92))</f>
        <v/>
      </c>
      <c r="M16" s="33" t="str">
        <f>IF($J16&lt;$K$3, "", IF($J16&lt;$K$2,2.19,2.52))</f>
        <v/>
      </c>
      <c r="N16" s="35" t="str">
        <f>IF($J16&lt;$K$3, "",G16*ROUND((K16+$Q16+$R16)*1.19,2))</f>
        <v/>
      </c>
      <c r="O16" s="35" t="str">
        <f t="shared" ref="O16:O20" si="19">IF($J16&lt;$K$3, "",H16*ROUND((L16+$Q16+$R16)*1.19,2))</f>
        <v/>
      </c>
      <c r="P16" s="35" t="str">
        <f t="shared" ref="P16:P20" si="20">IF($J16&lt;$K$3, "",I16*ROUND((M16+$Q16+$R16)*1.19,2))</f>
        <v/>
      </c>
      <c r="Q16" s="35">
        <f>IF(J16&lt;$K$4,1.65,1.4)</f>
        <v>1.65</v>
      </c>
      <c r="R16" s="35">
        <f>IF(F$14&lt;$K$1,8.6,7.45)</f>
        <v>8.6</v>
      </c>
      <c r="S16" s="33">
        <f>IF(C16&gt;0,1,0)</f>
        <v>0</v>
      </c>
      <c r="T16" s="33">
        <f>S16</f>
        <v>0</v>
      </c>
      <c r="U16" s="33" t="str">
        <f>IF(S16&gt;0,A16,"")</f>
        <v/>
      </c>
      <c r="V16" s="33" t="str">
        <f>IF(S16&gt;0,C16,"")</f>
        <v/>
      </c>
      <c r="W16" s="42" t="str">
        <f>IF(S16&gt;0,F16,"")</f>
        <v/>
      </c>
      <c r="X16" s="1" t="str">
        <f t="shared" ref="X16:X18" si="21">IF(AND(C16&lt;&gt;0,T16&gt;3),"Es dürfen maximal 3 Positionen auf einem Rezept gedruckt werden!","")</f>
        <v/>
      </c>
    </row>
    <row r="17" spans="1:24" x14ac:dyDescent="0.25">
      <c r="A17" s="3">
        <v>17377588</v>
      </c>
      <c r="B17" s="3" t="s">
        <v>4</v>
      </c>
      <c r="C17" s="46"/>
      <c r="D17" s="32">
        <f t="shared" ref="D17:D20" si="22">ROUND(C17,0)</f>
        <v>0</v>
      </c>
      <c r="E17" s="32">
        <f>E16+C17</f>
        <v>0</v>
      </c>
      <c r="F17" s="11" t="str">
        <f t="shared" ref="F17:F20" si="23">IF(AND(C17&gt;0,X17="",J17&gt;=$K$3), N17+O17+P17, "")</f>
        <v/>
      </c>
      <c r="G17" s="33">
        <f>IF(E17&lt;100,C17,IF(E17-C17&gt;100,0,MIN(100-(E17-C17))))</f>
        <v>0</v>
      </c>
      <c r="H17" s="33">
        <f>IF(E17&lt;=100,0,IF(E17-C17&gt;150,0,MIN(150,E17)-MAX(100,E17-C17)))</f>
        <v>0</v>
      </c>
      <c r="I17" s="33">
        <f>IF(E17&lt;=150,0,E17-MAX(150,E17-C17))</f>
        <v>0</v>
      </c>
      <c r="J17" s="34">
        <f>F14</f>
        <v>0</v>
      </c>
      <c r="K17" s="33" t="str">
        <f t="shared" ref="K17:K20" si="24">IF($J17&lt;$K$3, "", IF($J17&lt;$K$2,6.58,7.58))</f>
        <v/>
      </c>
      <c r="L17" s="33" t="str">
        <f t="shared" ref="L17:L20" si="25">IF($J17&lt;$K$3, "", IF($J17&lt;$K$2,4.28,4.92))</f>
        <v/>
      </c>
      <c r="M17" s="33" t="str">
        <f t="shared" ref="M17:M20" si="26">IF($J17&lt;$K$3, "", IF($J17&lt;$K$2,2.19,2.52))</f>
        <v/>
      </c>
      <c r="N17" s="35" t="str">
        <f t="shared" ref="N17:N20" si="27">IF($J17&lt;$K$3, "",G17*ROUND((K17+$Q17+$R17)*1.19,2))</f>
        <v/>
      </c>
      <c r="O17" s="35" t="str">
        <f t="shared" si="19"/>
        <v/>
      </c>
      <c r="P17" s="35" t="str">
        <f t="shared" si="20"/>
        <v/>
      </c>
      <c r="Q17" s="35">
        <f t="shared" ref="Q17:Q20" si="28">IF(J17&lt;$K$4,1.65,1.4)</f>
        <v>1.65</v>
      </c>
      <c r="R17" s="35">
        <f>IF(F$14&lt;$K$1,8.6,7.45)</f>
        <v>8.6</v>
      </c>
      <c r="S17" s="33">
        <f>IF(C17&gt;0,T16+1,0)</f>
        <v>0</v>
      </c>
      <c r="T17" s="33">
        <f>IF(C17&gt;0,T16+1,T16)</f>
        <v>0</v>
      </c>
      <c r="U17" s="33" t="str">
        <f>IF(S17&gt;0,A17,"")</f>
        <v/>
      </c>
      <c r="V17" s="33" t="str">
        <f>IF(S17&gt;0,C17,"")</f>
        <v/>
      </c>
      <c r="W17" s="42" t="str">
        <f>IF(S17&gt;0,F17,"")</f>
        <v/>
      </c>
      <c r="X17" s="1" t="str">
        <f t="shared" si="21"/>
        <v/>
      </c>
    </row>
    <row r="18" spans="1:24" x14ac:dyDescent="0.25">
      <c r="A18" s="3">
        <v>17377602</v>
      </c>
      <c r="B18" s="3" t="s">
        <v>52</v>
      </c>
      <c r="C18" s="46"/>
      <c r="D18" s="32">
        <f t="shared" si="22"/>
        <v>0</v>
      </c>
      <c r="E18" s="32">
        <f>E17+C18</f>
        <v>0</v>
      </c>
      <c r="F18" s="11" t="str">
        <f t="shared" si="23"/>
        <v/>
      </c>
      <c r="G18" s="33">
        <f>IF(E18&lt;100,C18,IF(E18-C18&gt;100,0,MIN(100-(E18-C18))))</f>
        <v>0</v>
      </c>
      <c r="H18" s="33">
        <f>IF(E18&lt;=100,0,IF(E18-C18&gt;150,0,MIN(150,E18)-MAX(100,E18-C18)))</f>
        <v>0</v>
      </c>
      <c r="I18" s="33">
        <f>IF(E18&lt;=150,0,E18-MAX(150,E18-C18))</f>
        <v>0</v>
      </c>
      <c r="J18" s="34">
        <f>F14</f>
        <v>0</v>
      </c>
      <c r="K18" s="33" t="str">
        <f t="shared" si="24"/>
        <v/>
      </c>
      <c r="L18" s="33" t="str">
        <f t="shared" si="25"/>
        <v/>
      </c>
      <c r="M18" s="33" t="str">
        <f t="shared" si="26"/>
        <v/>
      </c>
      <c r="N18" s="35" t="str">
        <f t="shared" si="27"/>
        <v/>
      </c>
      <c r="O18" s="35" t="str">
        <f t="shared" si="19"/>
        <v/>
      </c>
      <c r="P18" s="35" t="str">
        <f t="shared" si="20"/>
        <v/>
      </c>
      <c r="Q18" s="35">
        <f>IF(J18&lt;$K$4,1.65,2.8)</f>
        <v>1.65</v>
      </c>
      <c r="R18" s="35">
        <f>IF(F$14&lt;$K$1,8.6,7.45)</f>
        <v>8.6</v>
      </c>
      <c r="S18" s="33">
        <f t="shared" ref="S18:S20" si="29">IF(C18&gt;0,T17+1,0)</f>
        <v>0</v>
      </c>
      <c r="T18" s="33">
        <f t="shared" ref="T18:T20" si="30">IF(C18&gt;0,T17+1,T17)</f>
        <v>0</v>
      </c>
      <c r="U18" s="33" t="str">
        <f>IF(S18&gt;0,A18,"")</f>
        <v/>
      </c>
      <c r="V18" s="33" t="str">
        <f>IF(S18&gt;0,C18,"")</f>
        <v/>
      </c>
      <c r="W18" s="42" t="str">
        <f>IF(S18&gt;0,F18,"")</f>
        <v/>
      </c>
      <c r="X18" s="1" t="str">
        <f t="shared" si="21"/>
        <v/>
      </c>
    </row>
    <row r="19" spans="1:24" x14ac:dyDescent="0.25">
      <c r="A19" s="3">
        <v>17377648</v>
      </c>
      <c r="B19" s="3" t="s">
        <v>5</v>
      </c>
      <c r="C19" s="46"/>
      <c r="D19" s="32">
        <f t="shared" si="22"/>
        <v>0</v>
      </c>
      <c r="E19" s="32">
        <f>E18+C19</f>
        <v>0</v>
      </c>
      <c r="F19" s="11" t="str">
        <f t="shared" si="23"/>
        <v/>
      </c>
      <c r="G19" s="33">
        <f>IF(E19&lt;100,C19,IF(E19-C19&gt;100,0,MIN(100-(E19-C19))))</f>
        <v>0</v>
      </c>
      <c r="H19" s="33">
        <f>IF(E19&lt;=100,0,IF(E19-C19&gt;150,0,MIN(150,E19)-MAX(100,E19-C19)))</f>
        <v>0</v>
      </c>
      <c r="I19" s="33">
        <f>IF(E19&lt;=150,0,E19-MAX(150,E19-C19))</f>
        <v>0</v>
      </c>
      <c r="J19" s="34">
        <f>F14</f>
        <v>0</v>
      </c>
      <c r="K19" s="33" t="str">
        <f t="shared" si="24"/>
        <v/>
      </c>
      <c r="L19" s="33" t="str">
        <f t="shared" si="25"/>
        <v/>
      </c>
      <c r="M19" s="33" t="str">
        <f t="shared" si="26"/>
        <v/>
      </c>
      <c r="N19" s="35" t="str">
        <f t="shared" si="27"/>
        <v/>
      </c>
      <c r="O19" s="35" t="str">
        <f t="shared" si="19"/>
        <v/>
      </c>
      <c r="P19" s="35" t="str">
        <f t="shared" si="20"/>
        <v/>
      </c>
      <c r="Q19" s="35">
        <f t="shared" si="28"/>
        <v>1.65</v>
      </c>
      <c r="R19" s="35">
        <f>IF(F$14&lt;$K$1,8.6,7.45)</f>
        <v>8.6</v>
      </c>
      <c r="S19" s="33">
        <f t="shared" si="29"/>
        <v>0</v>
      </c>
      <c r="T19" s="33">
        <f t="shared" si="30"/>
        <v>0</v>
      </c>
      <c r="U19" s="33" t="str">
        <f>IF(S19&gt;0,A19,"")</f>
        <v/>
      </c>
      <c r="V19" s="33" t="str">
        <f>IF(S19&gt;0,C19,"")</f>
        <v/>
      </c>
      <c r="W19" s="42" t="str">
        <f>IF(S19&gt;0,F19,"")</f>
        <v/>
      </c>
      <c r="X19" s="1" t="str">
        <f>IF(AND(C19&lt;&gt;0,T19&gt;3),"Es dürfen maximal 3 Positionen auf einem Rezept gedruckt werden!","")</f>
        <v/>
      </c>
    </row>
    <row r="20" spans="1:24" x14ac:dyDescent="0.25">
      <c r="A20" s="3">
        <v>17895975</v>
      </c>
      <c r="B20" s="3" t="s">
        <v>56</v>
      </c>
      <c r="C20" s="46"/>
      <c r="D20" s="32">
        <f t="shared" si="22"/>
        <v>0</v>
      </c>
      <c r="E20" s="32">
        <f t="shared" ref="E20" si="31">E19+C20</f>
        <v>0</v>
      </c>
      <c r="F20" s="11" t="str">
        <f t="shared" si="23"/>
        <v/>
      </c>
      <c r="G20" s="33">
        <f>IF(E20&lt;100,C20,IF(E20-C20&gt;100,0,MIN(100-(E20-C20))))</f>
        <v>0</v>
      </c>
      <c r="H20" s="33">
        <f>IF(E20&lt;=100,0,IF(E20-C20&gt;150,0,MIN(150,E20)-MAX(100,E20-C20)))</f>
        <v>0</v>
      </c>
      <c r="I20" s="33">
        <f>IF(E20&lt;=150,0,E20-MAX(150,E20-C20))</f>
        <v>0</v>
      </c>
      <c r="J20" s="34">
        <f>F14</f>
        <v>0</v>
      </c>
      <c r="K20" s="33" t="str">
        <f t="shared" si="24"/>
        <v/>
      </c>
      <c r="L20" s="33" t="str">
        <f t="shared" si="25"/>
        <v/>
      </c>
      <c r="M20" s="33" t="str">
        <f t="shared" si="26"/>
        <v/>
      </c>
      <c r="N20" s="35" t="str">
        <f t="shared" si="27"/>
        <v/>
      </c>
      <c r="O20" s="35" t="str">
        <f t="shared" si="19"/>
        <v/>
      </c>
      <c r="P20" s="35" t="str">
        <f t="shared" si="20"/>
        <v/>
      </c>
      <c r="Q20" s="35">
        <f t="shared" si="28"/>
        <v>1.65</v>
      </c>
      <c r="R20" s="35">
        <f>IF(F$5&lt;$K$1,8.6,7.45)</f>
        <v>8.6</v>
      </c>
      <c r="S20" s="33">
        <f t="shared" si="29"/>
        <v>0</v>
      </c>
      <c r="T20" s="33">
        <f t="shared" si="30"/>
        <v>0</v>
      </c>
      <c r="U20" s="33" t="str">
        <f>IF(S20&gt;0,A20,"")</f>
        <v/>
      </c>
      <c r="V20" s="33" t="str">
        <f>IF(S20&gt;0,C20,"")</f>
        <v/>
      </c>
      <c r="W20" s="42" t="str">
        <f>IF(S20&gt;0,F20,"")</f>
        <v/>
      </c>
      <c r="X20" s="1" t="str">
        <f>IF(AND(C20&lt;&gt;0,T20&gt;3),"Es dürfen maximal 3 Positionen auf einem Rezept gedruckt werden!","")</f>
        <v/>
      </c>
    </row>
    <row r="21" spans="1:24" x14ac:dyDescent="0.25">
      <c r="A21" s="3"/>
      <c r="B21" s="2" t="s">
        <v>7</v>
      </c>
      <c r="C21" s="8">
        <f>SUM(C16:C20)</f>
        <v>0</v>
      </c>
      <c r="D21" s="32"/>
      <c r="E21" s="32"/>
      <c r="F21" s="11">
        <f>SUM(F16:F20)</f>
        <v>0</v>
      </c>
      <c r="X21" s="1"/>
    </row>
    <row r="22" spans="1:24" x14ac:dyDescent="0.25">
      <c r="A22" s="1"/>
      <c r="B22" s="1"/>
      <c r="C22" s="7"/>
      <c r="F22" s="7"/>
      <c r="X22" s="1"/>
    </row>
    <row r="23" spans="1:24" ht="15.75" x14ac:dyDescent="0.25">
      <c r="A23" s="49" t="s">
        <v>25</v>
      </c>
      <c r="B23" s="49"/>
      <c r="C23" s="6" t="s">
        <v>17</v>
      </c>
      <c r="D23" s="29"/>
      <c r="E23" s="30"/>
      <c r="F23" s="47"/>
      <c r="X23" s="1" t="str">
        <f>IF(F23&lt;$K$3, "Eine Belieferung der Ärzte kann erst ab dem 31.05.2021 erfolgen", "")</f>
        <v>Eine Belieferung der Ärzte kann erst ab dem 31.05.2021 erfolgen</v>
      </c>
    </row>
    <row r="24" spans="1:24" s="10" customFormat="1" x14ac:dyDescent="0.25">
      <c r="A24" s="2" t="s">
        <v>0</v>
      </c>
      <c r="B24" s="2" t="s">
        <v>6</v>
      </c>
      <c r="C24" s="2" t="s">
        <v>1</v>
      </c>
      <c r="D24" s="31" t="s">
        <v>43</v>
      </c>
      <c r="E24" s="31" t="s">
        <v>44</v>
      </c>
      <c r="F24" s="2" t="s">
        <v>2</v>
      </c>
      <c r="G24" s="41"/>
      <c r="H24" s="41"/>
      <c r="I24" s="41"/>
      <c r="J24" s="41"/>
      <c r="K24" s="41"/>
      <c r="L24" s="41"/>
      <c r="M24" s="41"/>
      <c r="N24" s="43"/>
      <c r="O24" s="43"/>
      <c r="P24" s="43"/>
      <c r="Q24" s="43"/>
      <c r="R24" s="43"/>
      <c r="S24" s="41"/>
      <c r="T24" s="41"/>
      <c r="U24" s="41"/>
      <c r="V24" s="41"/>
      <c r="W24" s="41"/>
      <c r="X24" s="44"/>
    </row>
    <row r="25" spans="1:24" x14ac:dyDescent="0.25">
      <c r="A25" s="3">
        <v>17377625</v>
      </c>
      <c r="B25" s="3" t="s">
        <v>3</v>
      </c>
      <c r="C25" s="46"/>
      <c r="D25" s="32">
        <f>ROUND(C25,0)</f>
        <v>0</v>
      </c>
      <c r="E25" s="32">
        <f>E20+C25</f>
        <v>0</v>
      </c>
      <c r="F25" s="11" t="str">
        <f>IF(AND(C25&gt;0,X25="",J25&gt;=$K$3), N25+O25+P25, "")</f>
        <v/>
      </c>
      <c r="G25" s="33">
        <f>IF(E25&lt;100,C25,IF(E25-C25&gt;100,0,MIN(100-(E25-C25))))</f>
        <v>0</v>
      </c>
      <c r="H25" s="33">
        <f>IF(E25&lt;=100,0,IF(E25-C25&gt;150,0,MIN(150,E25)-MAX(100,E25-C25)))</f>
        <v>0</v>
      </c>
      <c r="I25" s="33">
        <f>IF(E25&lt;=150,0,E25-MAX(150,E25-C25))</f>
        <v>0</v>
      </c>
      <c r="J25" s="34">
        <f>F23</f>
        <v>0</v>
      </c>
      <c r="K25" s="33" t="str">
        <f>IF($J25&lt;$K$3, "", IF($J25&lt;$K$2,6.58,7.58))</f>
        <v/>
      </c>
      <c r="L25" s="33" t="str">
        <f>IF($J25&lt;$K$3, "", IF($J25&lt;$K$2,4.28,4.92))</f>
        <v/>
      </c>
      <c r="M25" s="33" t="str">
        <f>IF($J25&lt;$K$3, "", IF($J25&lt;$K$2,2.19,2.52))</f>
        <v/>
      </c>
      <c r="N25" s="35" t="str">
        <f>IF($J25&lt;$K$3, "",G25*ROUND((K25+$Q25+$R25)*1.19,2))</f>
        <v/>
      </c>
      <c r="O25" s="35" t="str">
        <f t="shared" ref="O25:O29" si="32">IF($J25&lt;$K$3, "",H25*ROUND((L25+$Q25+$R25)*1.19,2))</f>
        <v/>
      </c>
      <c r="P25" s="35" t="str">
        <f t="shared" ref="P25:P29" si="33">IF($J25&lt;$K$3, "",I25*ROUND((M25+$Q25+$R25)*1.19,2))</f>
        <v/>
      </c>
      <c r="Q25" s="35">
        <f>IF(J25&lt;$K$4,1.65,1.4)</f>
        <v>1.65</v>
      </c>
      <c r="R25" s="35">
        <f>IF(F$23&lt;$K$1,8.6,7.45)</f>
        <v>8.6</v>
      </c>
      <c r="S25" s="33">
        <f>IF(C25&gt;0,1,0)</f>
        <v>0</v>
      </c>
      <c r="T25" s="33">
        <f>S25</f>
        <v>0</v>
      </c>
      <c r="U25" s="33" t="str">
        <f>IF(S25&gt;0,A25,"")</f>
        <v/>
      </c>
      <c r="V25" s="33" t="str">
        <f>IF(S25&gt;0,C25,"")</f>
        <v/>
      </c>
      <c r="W25" s="42" t="str">
        <f>IF(S25&gt;0,F25,"")</f>
        <v/>
      </c>
      <c r="X25" s="1" t="str">
        <f t="shared" ref="X25:X27" si="34">IF(AND(C25&lt;&gt;0,T25&gt;3),"Es dürfen maximal 3 Positionen auf einem Rezept gedruckt werden!","")</f>
        <v/>
      </c>
    </row>
    <row r="26" spans="1:24" x14ac:dyDescent="0.25">
      <c r="A26" s="3">
        <v>17377588</v>
      </c>
      <c r="B26" s="3" t="s">
        <v>4</v>
      </c>
      <c r="C26" s="46"/>
      <c r="D26" s="32">
        <f t="shared" ref="D26:D29" si="35">ROUND(C26,0)</f>
        <v>0</v>
      </c>
      <c r="E26" s="32">
        <f>E25+C26</f>
        <v>0</v>
      </c>
      <c r="F26" s="11" t="str">
        <f t="shared" ref="F26:F29" si="36">IF(AND(C26&gt;0,X26="",J26&gt;=$K$3), N26+O26+P26, "")</f>
        <v/>
      </c>
      <c r="G26" s="33">
        <f>IF(E26&lt;100,C26,IF(E26-C26&gt;100,0,MIN(100-(E26-C26))))</f>
        <v>0</v>
      </c>
      <c r="H26" s="33">
        <f>IF(E26&lt;=100,0,IF(E26-C26&gt;150,0,MIN(150,E26)-MAX(100,E26-C26)))</f>
        <v>0</v>
      </c>
      <c r="I26" s="33">
        <f>IF(E26&lt;=150,0,E26-MAX(150,E26-C26))</f>
        <v>0</v>
      </c>
      <c r="J26" s="34">
        <f>F23</f>
        <v>0</v>
      </c>
      <c r="K26" s="33" t="str">
        <f t="shared" ref="K26:K29" si="37">IF($J26&lt;$K$3, "", IF($J26&lt;$K$2,6.58,7.58))</f>
        <v/>
      </c>
      <c r="L26" s="33" t="str">
        <f t="shared" ref="L26:L29" si="38">IF($J26&lt;$K$3, "", IF($J26&lt;$K$2,4.28,4.92))</f>
        <v/>
      </c>
      <c r="M26" s="33" t="str">
        <f t="shared" ref="M26:M29" si="39">IF($J26&lt;$K$3, "", IF($J26&lt;$K$2,2.19,2.52))</f>
        <v/>
      </c>
      <c r="N26" s="35" t="str">
        <f t="shared" ref="N26:N29" si="40">IF($J26&lt;$K$3, "",G26*ROUND((K26+$Q26+$R26)*1.19,2))</f>
        <v/>
      </c>
      <c r="O26" s="35" t="str">
        <f t="shared" si="32"/>
        <v/>
      </c>
      <c r="P26" s="35" t="str">
        <f t="shared" si="33"/>
        <v/>
      </c>
      <c r="Q26" s="35">
        <f t="shared" ref="Q26:Q29" si="41">IF(J26&lt;$K$4,1.65,1.4)</f>
        <v>1.65</v>
      </c>
      <c r="R26" s="35">
        <f>IF(F$23&lt;$K$1,8.6,7.45)</f>
        <v>8.6</v>
      </c>
      <c r="S26" s="33">
        <f>IF(C26&gt;0,T25+1,0)</f>
        <v>0</v>
      </c>
      <c r="T26" s="33">
        <f>IF(C26&gt;0,T25+1,T25)</f>
        <v>0</v>
      </c>
      <c r="U26" s="33" t="str">
        <f>IF(S26&gt;0,A26,"")</f>
        <v/>
      </c>
      <c r="V26" s="33" t="str">
        <f>IF(S26&gt;0,C26,"")</f>
        <v/>
      </c>
      <c r="W26" s="42" t="str">
        <f>IF(S26&gt;0,F26,"")</f>
        <v/>
      </c>
      <c r="X26" s="1" t="str">
        <f t="shared" si="34"/>
        <v/>
      </c>
    </row>
    <row r="27" spans="1:24" x14ac:dyDescent="0.25">
      <c r="A27" s="3">
        <v>17377602</v>
      </c>
      <c r="B27" s="3" t="s">
        <v>52</v>
      </c>
      <c r="C27" s="46"/>
      <c r="D27" s="32">
        <f t="shared" si="35"/>
        <v>0</v>
      </c>
      <c r="E27" s="32">
        <f>E26+C27</f>
        <v>0</v>
      </c>
      <c r="F27" s="11" t="str">
        <f t="shared" si="36"/>
        <v/>
      </c>
      <c r="G27" s="33">
        <f>IF(E27&lt;100,C27,IF(E27-C27&gt;100,0,MIN(100-(E27-C27))))</f>
        <v>0</v>
      </c>
      <c r="H27" s="33">
        <f>IF(E27&lt;=100,0,IF(E27-C27&gt;150,0,MIN(150,E27)-MAX(100,E27-C27)))</f>
        <v>0</v>
      </c>
      <c r="I27" s="33">
        <f>IF(E27&lt;=150,0,E27-MAX(150,E27-C27))</f>
        <v>0</v>
      </c>
      <c r="J27" s="34">
        <f>F23</f>
        <v>0</v>
      </c>
      <c r="K27" s="33" t="str">
        <f t="shared" si="37"/>
        <v/>
      </c>
      <c r="L27" s="33" t="str">
        <f t="shared" si="38"/>
        <v/>
      </c>
      <c r="M27" s="33" t="str">
        <f t="shared" si="39"/>
        <v/>
      </c>
      <c r="N27" s="35" t="str">
        <f t="shared" si="40"/>
        <v/>
      </c>
      <c r="O27" s="35" t="str">
        <f t="shared" si="32"/>
        <v/>
      </c>
      <c r="P27" s="35" t="str">
        <f t="shared" si="33"/>
        <v/>
      </c>
      <c r="Q27" s="35">
        <f>IF(J27&lt;$K$4,1.65,2.8)</f>
        <v>1.65</v>
      </c>
      <c r="R27" s="35">
        <f>IF(F$23&lt;$K$1,8.6,7.45)</f>
        <v>8.6</v>
      </c>
      <c r="S27" s="33">
        <f t="shared" ref="S27:S29" si="42">IF(C27&gt;0,T26+1,0)</f>
        <v>0</v>
      </c>
      <c r="T27" s="33">
        <f t="shared" ref="T27:T29" si="43">IF(C27&gt;0,T26+1,T26)</f>
        <v>0</v>
      </c>
      <c r="U27" s="33" t="str">
        <f>IF(S27&gt;0,A27,"")</f>
        <v/>
      </c>
      <c r="V27" s="33" t="str">
        <f>IF(S27&gt;0,C27,"")</f>
        <v/>
      </c>
      <c r="W27" s="42" t="str">
        <f>IF(S27&gt;0,F27,"")</f>
        <v/>
      </c>
      <c r="X27" s="1" t="str">
        <f t="shared" si="34"/>
        <v/>
      </c>
    </row>
    <row r="28" spans="1:24" x14ac:dyDescent="0.25">
      <c r="A28" s="3">
        <v>17377648</v>
      </c>
      <c r="B28" s="3" t="s">
        <v>5</v>
      </c>
      <c r="C28" s="46"/>
      <c r="D28" s="32">
        <f t="shared" si="35"/>
        <v>0</v>
      </c>
      <c r="E28" s="32">
        <f>E27+C28</f>
        <v>0</v>
      </c>
      <c r="F28" s="11" t="str">
        <f t="shared" si="36"/>
        <v/>
      </c>
      <c r="G28" s="33">
        <f>IF(E28&lt;100,C28,IF(E28-C28&gt;100,0,MIN(100-(E28-C28))))</f>
        <v>0</v>
      </c>
      <c r="H28" s="33">
        <f>IF(E28&lt;=100,0,IF(E28-C28&gt;150,0,MIN(150,E28)-MAX(100,E28-C28)))</f>
        <v>0</v>
      </c>
      <c r="I28" s="33">
        <f>IF(E28&lt;=150,0,E28-MAX(150,E28-C28))</f>
        <v>0</v>
      </c>
      <c r="J28" s="34">
        <f>F23</f>
        <v>0</v>
      </c>
      <c r="K28" s="33" t="str">
        <f t="shared" si="37"/>
        <v/>
      </c>
      <c r="L28" s="33" t="str">
        <f t="shared" si="38"/>
        <v/>
      </c>
      <c r="M28" s="33" t="str">
        <f t="shared" si="39"/>
        <v/>
      </c>
      <c r="N28" s="35" t="str">
        <f t="shared" si="40"/>
        <v/>
      </c>
      <c r="O28" s="35" t="str">
        <f t="shared" si="32"/>
        <v/>
      </c>
      <c r="P28" s="35" t="str">
        <f t="shared" si="33"/>
        <v/>
      </c>
      <c r="Q28" s="35">
        <f t="shared" si="41"/>
        <v>1.65</v>
      </c>
      <c r="R28" s="35">
        <f>IF(F$23&lt;$K$1,8.6,7.45)</f>
        <v>8.6</v>
      </c>
      <c r="S28" s="33">
        <f t="shared" si="42"/>
        <v>0</v>
      </c>
      <c r="T28" s="33">
        <f t="shared" si="43"/>
        <v>0</v>
      </c>
      <c r="U28" s="33" t="str">
        <f>IF(S28&gt;0,A28,"")</f>
        <v/>
      </c>
      <c r="V28" s="33" t="str">
        <f>IF(S28&gt;0,C28,"")</f>
        <v/>
      </c>
      <c r="W28" s="42" t="str">
        <f>IF(S28&gt;0,F28,"")</f>
        <v/>
      </c>
      <c r="X28" s="1" t="str">
        <f>IF(AND(C28&lt;&gt;0,T28&gt;3),"Es dürfen maximal 3 Positionen auf einem Rezept gedruckt werden!","")</f>
        <v/>
      </c>
    </row>
    <row r="29" spans="1:24" x14ac:dyDescent="0.25">
      <c r="A29" s="3">
        <v>17895975</v>
      </c>
      <c r="B29" s="3" t="s">
        <v>56</v>
      </c>
      <c r="C29" s="46"/>
      <c r="D29" s="32">
        <f t="shared" si="35"/>
        <v>0</v>
      </c>
      <c r="E29" s="32">
        <f t="shared" ref="E29" si="44">E28+C29</f>
        <v>0</v>
      </c>
      <c r="F29" s="11" t="str">
        <f t="shared" si="36"/>
        <v/>
      </c>
      <c r="G29" s="33">
        <f>IF(E29&lt;100,C29,IF(E29-C29&gt;100,0,MIN(100-(E29-C29))))</f>
        <v>0</v>
      </c>
      <c r="H29" s="33">
        <f>IF(E29&lt;=100,0,IF(E29-C29&gt;150,0,MIN(150,E29)-MAX(100,E29-C29)))</f>
        <v>0</v>
      </c>
      <c r="I29" s="33">
        <f>IF(E29&lt;=150,0,E29-MAX(150,E29-C29))</f>
        <v>0</v>
      </c>
      <c r="J29" s="34">
        <f>F23</f>
        <v>0</v>
      </c>
      <c r="K29" s="33" t="str">
        <f t="shared" si="37"/>
        <v/>
      </c>
      <c r="L29" s="33" t="str">
        <f t="shared" si="38"/>
        <v/>
      </c>
      <c r="M29" s="33" t="str">
        <f t="shared" si="39"/>
        <v/>
      </c>
      <c r="N29" s="35" t="str">
        <f t="shared" si="40"/>
        <v/>
      </c>
      <c r="O29" s="35" t="str">
        <f t="shared" si="32"/>
        <v/>
      </c>
      <c r="P29" s="35" t="str">
        <f t="shared" si="33"/>
        <v/>
      </c>
      <c r="Q29" s="35">
        <f t="shared" si="41"/>
        <v>1.65</v>
      </c>
      <c r="R29" s="35">
        <f>IF(F$5&lt;$K$1,8.6,7.45)</f>
        <v>8.6</v>
      </c>
      <c r="S29" s="33">
        <f t="shared" si="42"/>
        <v>0</v>
      </c>
      <c r="T29" s="33">
        <f t="shared" si="43"/>
        <v>0</v>
      </c>
      <c r="U29" s="33" t="str">
        <f>IF(S29&gt;0,A29,"")</f>
        <v/>
      </c>
      <c r="V29" s="33" t="str">
        <f>IF(S29&gt;0,C29,"")</f>
        <v/>
      </c>
      <c r="W29" s="42" t="str">
        <f>IF(S29&gt;0,F29,"")</f>
        <v/>
      </c>
      <c r="X29" s="1" t="str">
        <f>IF(AND(C29&lt;&gt;0,T29&gt;3),"Es dürfen maximal 3 Positionen auf einem Rezept gedruckt werden!","")</f>
        <v/>
      </c>
    </row>
    <row r="30" spans="1:24" x14ac:dyDescent="0.25">
      <c r="A30" s="3"/>
      <c r="B30" s="2" t="s">
        <v>7</v>
      </c>
      <c r="C30" s="8">
        <f>SUM(C25:C29)</f>
        <v>0</v>
      </c>
      <c r="D30" s="32"/>
      <c r="E30" s="32"/>
      <c r="F30" s="11">
        <f>SUM(F25:F29)</f>
        <v>0</v>
      </c>
      <c r="X30" s="1"/>
    </row>
    <row r="31" spans="1:24" x14ac:dyDescent="0.25">
      <c r="A31" s="1"/>
      <c r="B31" s="1"/>
      <c r="C31" s="7"/>
      <c r="F31" s="7"/>
      <c r="X31" s="1"/>
    </row>
    <row r="32" spans="1:24" ht="15.75" x14ac:dyDescent="0.25">
      <c r="A32" s="49" t="s">
        <v>26</v>
      </c>
      <c r="B32" s="49"/>
      <c r="C32" s="6" t="s">
        <v>17</v>
      </c>
      <c r="D32" s="29"/>
      <c r="E32" s="30"/>
      <c r="F32" s="47"/>
      <c r="X32" s="1" t="str">
        <f>IF(F32&lt;$K$3, "Eine Belieferung der Ärzte kann erst ab dem 31.05.2021 erfolgen", "")</f>
        <v>Eine Belieferung der Ärzte kann erst ab dem 31.05.2021 erfolgen</v>
      </c>
    </row>
    <row r="33" spans="1:24" s="10" customFormat="1" x14ac:dyDescent="0.25">
      <c r="A33" s="2" t="s">
        <v>0</v>
      </c>
      <c r="B33" s="2" t="s">
        <v>6</v>
      </c>
      <c r="C33" s="2" t="s">
        <v>1</v>
      </c>
      <c r="D33" s="31" t="s">
        <v>43</v>
      </c>
      <c r="E33" s="31" t="s">
        <v>44</v>
      </c>
      <c r="F33" s="2" t="s">
        <v>2</v>
      </c>
      <c r="G33" s="41"/>
      <c r="H33" s="41"/>
      <c r="I33" s="41"/>
      <c r="J33" s="41"/>
      <c r="K33" s="41"/>
      <c r="L33" s="41"/>
      <c r="M33" s="41"/>
      <c r="N33" s="43"/>
      <c r="O33" s="43"/>
      <c r="P33" s="43"/>
      <c r="Q33" s="43"/>
      <c r="R33" s="43"/>
      <c r="S33" s="41"/>
      <c r="T33" s="41"/>
      <c r="U33" s="41"/>
      <c r="V33" s="41"/>
      <c r="W33" s="41"/>
      <c r="X33" s="44"/>
    </row>
    <row r="34" spans="1:24" x14ac:dyDescent="0.25">
      <c r="A34" s="3">
        <v>17377625</v>
      </c>
      <c r="B34" s="3" t="s">
        <v>3</v>
      </c>
      <c r="C34" s="46"/>
      <c r="D34" s="32">
        <f>ROUND(C34,0)</f>
        <v>0</v>
      </c>
      <c r="E34" s="32">
        <f>E29+C34</f>
        <v>0</v>
      </c>
      <c r="F34" s="11" t="str">
        <f>IF(AND(C34&gt;0,X34="",J34&gt;=$K$3), N34+O34+P34, "")</f>
        <v/>
      </c>
      <c r="G34" s="33">
        <f>IF(E34&lt;100,C34,IF(E34-C34&gt;100,0,MIN(100-(E34-C34))))</f>
        <v>0</v>
      </c>
      <c r="H34" s="33">
        <f>IF(E34&lt;=100,0,IF(E34-C34&gt;150,0,MIN(150,E34)-MAX(100,E34-C34)))</f>
        <v>0</v>
      </c>
      <c r="I34" s="33">
        <f>IF(E34&lt;=150,0,E34-MAX(150,E34-C34))</f>
        <v>0</v>
      </c>
      <c r="J34" s="34">
        <f>F32</f>
        <v>0</v>
      </c>
      <c r="K34" s="33" t="str">
        <f>IF($J34&lt;$K$3, "", IF($J34&lt;$K$2,6.58,7.58))</f>
        <v/>
      </c>
      <c r="L34" s="33" t="str">
        <f>IF($J34&lt;$K$3, "", IF($J34&lt;$K$2,4.28,4.92))</f>
        <v/>
      </c>
      <c r="M34" s="33" t="str">
        <f>IF($J34&lt;$K$3, "", IF($J34&lt;$K$2,2.19,2.52))</f>
        <v/>
      </c>
      <c r="N34" s="35" t="str">
        <f>IF($J34&lt;$K$3, "",G34*ROUND((K34+$Q34+$R34)*1.19,2))</f>
        <v/>
      </c>
      <c r="O34" s="35" t="str">
        <f t="shared" ref="O34:O38" si="45">IF($J34&lt;$K$3, "",H34*ROUND((L34+$Q34+$R34)*1.19,2))</f>
        <v/>
      </c>
      <c r="P34" s="35" t="str">
        <f t="shared" ref="P34:P38" si="46">IF($J34&lt;$K$3, "",I34*ROUND((M34+$Q34+$R34)*1.19,2))</f>
        <v/>
      </c>
      <c r="Q34" s="35">
        <f>IF(J34&lt;$K$4,1.65,1.4)</f>
        <v>1.65</v>
      </c>
      <c r="R34" s="35">
        <f>IF(F$32&lt;$K$1,8.6,7.45)</f>
        <v>8.6</v>
      </c>
      <c r="S34" s="33">
        <f>IF(C34&gt;0,1,0)</f>
        <v>0</v>
      </c>
      <c r="T34" s="33">
        <f>S34</f>
        <v>0</v>
      </c>
      <c r="U34" s="33" t="str">
        <f>IF(S34&gt;0,A34,"")</f>
        <v/>
      </c>
      <c r="V34" s="33" t="str">
        <f>IF(S34&gt;0,C34,"")</f>
        <v/>
      </c>
      <c r="W34" s="42" t="str">
        <f>IF(S34&gt;0,F34,"")</f>
        <v/>
      </c>
      <c r="X34" s="1" t="str">
        <f t="shared" ref="X34:X36" si="47">IF(AND(C34&lt;&gt;0,T34&gt;3),"Es dürfen maximal 3 Positionen auf einem Rezept gedruckt werden!","")</f>
        <v/>
      </c>
    </row>
    <row r="35" spans="1:24" x14ac:dyDescent="0.25">
      <c r="A35" s="3">
        <v>17377588</v>
      </c>
      <c r="B35" s="3" t="s">
        <v>4</v>
      </c>
      <c r="C35" s="46"/>
      <c r="D35" s="32">
        <f t="shared" ref="D35:D38" si="48">ROUND(C35,0)</f>
        <v>0</v>
      </c>
      <c r="E35" s="32">
        <f>E34+C35</f>
        <v>0</v>
      </c>
      <c r="F35" s="11" t="str">
        <f t="shared" ref="F35:F38" si="49">IF(AND(C35&gt;0,X35="",J35&gt;=$K$3), N35+O35+P35, "")</f>
        <v/>
      </c>
      <c r="G35" s="33">
        <f>IF(E35&lt;100,C35,IF(E35-C35&gt;100,0,MIN(100-(E35-C35))))</f>
        <v>0</v>
      </c>
      <c r="H35" s="33">
        <f>IF(E35&lt;=100,0,IF(E35-C35&gt;150,0,MIN(150,E35)-MAX(100,E35-C35)))</f>
        <v>0</v>
      </c>
      <c r="I35" s="33">
        <f>IF(E35&lt;=150,0,E35-MAX(150,E35-C35))</f>
        <v>0</v>
      </c>
      <c r="J35" s="34">
        <f>F32</f>
        <v>0</v>
      </c>
      <c r="K35" s="33" t="str">
        <f t="shared" ref="K35:K38" si="50">IF($J35&lt;$K$3, "", IF($J35&lt;$K$2,6.58,7.58))</f>
        <v/>
      </c>
      <c r="L35" s="33" t="str">
        <f t="shared" ref="L35:L38" si="51">IF($J35&lt;$K$3, "", IF($J35&lt;$K$2,4.28,4.92))</f>
        <v/>
      </c>
      <c r="M35" s="33" t="str">
        <f t="shared" ref="M35:M38" si="52">IF($J35&lt;$K$3, "", IF($J35&lt;$K$2,2.19,2.52))</f>
        <v/>
      </c>
      <c r="N35" s="35" t="str">
        <f t="shared" ref="N35:N38" si="53">IF($J35&lt;$K$3, "",G35*ROUND((K35+$Q35+$R35)*1.19,2))</f>
        <v/>
      </c>
      <c r="O35" s="35" t="str">
        <f t="shared" si="45"/>
        <v/>
      </c>
      <c r="P35" s="35" t="str">
        <f t="shared" si="46"/>
        <v/>
      </c>
      <c r="Q35" s="35">
        <f t="shared" ref="Q35:Q38" si="54">IF(J35&lt;$K$4,1.65,1.4)</f>
        <v>1.65</v>
      </c>
      <c r="R35" s="35">
        <f>IF(F$32&lt;$K$1,8.6,7.45)</f>
        <v>8.6</v>
      </c>
      <c r="S35" s="33">
        <f>IF(C35&gt;0,T34+1,0)</f>
        <v>0</v>
      </c>
      <c r="T35" s="33">
        <f>IF(C35&gt;0,T34+1,T34)</f>
        <v>0</v>
      </c>
      <c r="U35" s="33" t="str">
        <f>IF(S35&gt;0,A35,"")</f>
        <v/>
      </c>
      <c r="V35" s="33" t="str">
        <f>IF(S35&gt;0,C35,"")</f>
        <v/>
      </c>
      <c r="W35" s="42" t="str">
        <f>IF(S35&gt;0,F35,"")</f>
        <v/>
      </c>
      <c r="X35" s="1" t="str">
        <f t="shared" si="47"/>
        <v/>
      </c>
    </row>
    <row r="36" spans="1:24" x14ac:dyDescent="0.25">
      <c r="A36" s="3">
        <v>17377602</v>
      </c>
      <c r="B36" s="3" t="s">
        <v>52</v>
      </c>
      <c r="C36" s="46"/>
      <c r="D36" s="32">
        <f t="shared" si="48"/>
        <v>0</v>
      </c>
      <c r="E36" s="32">
        <f>E35+C36</f>
        <v>0</v>
      </c>
      <c r="F36" s="11" t="str">
        <f t="shared" si="49"/>
        <v/>
      </c>
      <c r="G36" s="33">
        <f>IF(E36&lt;100,C36,IF(E36-C36&gt;100,0,MIN(100-(E36-C36))))</f>
        <v>0</v>
      </c>
      <c r="H36" s="33">
        <f>IF(E36&lt;=100,0,IF(E36-C36&gt;150,0,MIN(150,E36)-MAX(100,E36-C36)))</f>
        <v>0</v>
      </c>
      <c r="I36" s="33">
        <f>IF(E36&lt;=150,0,E36-MAX(150,E36-C36))</f>
        <v>0</v>
      </c>
      <c r="J36" s="34">
        <f>F32</f>
        <v>0</v>
      </c>
      <c r="K36" s="33" t="str">
        <f t="shared" si="50"/>
        <v/>
      </c>
      <c r="L36" s="33" t="str">
        <f t="shared" si="51"/>
        <v/>
      </c>
      <c r="M36" s="33" t="str">
        <f t="shared" si="52"/>
        <v/>
      </c>
      <c r="N36" s="35" t="str">
        <f t="shared" si="53"/>
        <v/>
      </c>
      <c r="O36" s="35" t="str">
        <f t="shared" si="45"/>
        <v/>
      </c>
      <c r="P36" s="35" t="str">
        <f t="shared" si="46"/>
        <v/>
      </c>
      <c r="Q36" s="35">
        <f>IF(J36&lt;$K$4,1.65,2.8)</f>
        <v>1.65</v>
      </c>
      <c r="R36" s="35">
        <f>IF(F$32&lt;$K$1,8.6,7.45)</f>
        <v>8.6</v>
      </c>
      <c r="S36" s="33">
        <f t="shared" ref="S36:S38" si="55">IF(C36&gt;0,T35+1,0)</f>
        <v>0</v>
      </c>
      <c r="T36" s="33">
        <f t="shared" ref="T36:T38" si="56">IF(C36&gt;0,T35+1,T35)</f>
        <v>0</v>
      </c>
      <c r="U36" s="33" t="str">
        <f>IF(S36&gt;0,A36,"")</f>
        <v/>
      </c>
      <c r="V36" s="33" t="str">
        <f>IF(S36&gt;0,C36,"")</f>
        <v/>
      </c>
      <c r="W36" s="42" t="str">
        <f>IF(S36&gt;0,F36,"")</f>
        <v/>
      </c>
      <c r="X36" s="1" t="str">
        <f t="shared" si="47"/>
        <v/>
      </c>
    </row>
    <row r="37" spans="1:24" x14ac:dyDescent="0.25">
      <c r="A37" s="3">
        <v>17377648</v>
      </c>
      <c r="B37" s="3" t="s">
        <v>5</v>
      </c>
      <c r="C37" s="46"/>
      <c r="D37" s="32">
        <f t="shared" si="48"/>
        <v>0</v>
      </c>
      <c r="E37" s="32">
        <f>E36+C37</f>
        <v>0</v>
      </c>
      <c r="F37" s="11" t="str">
        <f t="shared" si="49"/>
        <v/>
      </c>
      <c r="G37" s="33">
        <f>IF(E37&lt;100,C37,IF(E37-C37&gt;100,0,MIN(100-(E37-C37))))</f>
        <v>0</v>
      </c>
      <c r="H37" s="33">
        <f>IF(E37&lt;=100,0,IF(E37-C37&gt;150,0,MIN(150,E37)-MAX(100,E37-C37)))</f>
        <v>0</v>
      </c>
      <c r="I37" s="33">
        <f>IF(E37&lt;=150,0,E37-MAX(150,E37-C37))</f>
        <v>0</v>
      </c>
      <c r="J37" s="34">
        <f>F32</f>
        <v>0</v>
      </c>
      <c r="K37" s="33" t="str">
        <f t="shared" si="50"/>
        <v/>
      </c>
      <c r="L37" s="33" t="str">
        <f t="shared" si="51"/>
        <v/>
      </c>
      <c r="M37" s="33" t="str">
        <f t="shared" si="52"/>
        <v/>
      </c>
      <c r="N37" s="35" t="str">
        <f t="shared" si="53"/>
        <v/>
      </c>
      <c r="O37" s="35" t="str">
        <f t="shared" si="45"/>
        <v/>
      </c>
      <c r="P37" s="35" t="str">
        <f t="shared" si="46"/>
        <v/>
      </c>
      <c r="Q37" s="35">
        <f t="shared" si="54"/>
        <v>1.65</v>
      </c>
      <c r="R37" s="35">
        <f>IF(F$32&lt;$K$1,8.6,7.45)</f>
        <v>8.6</v>
      </c>
      <c r="S37" s="33">
        <f t="shared" si="55"/>
        <v>0</v>
      </c>
      <c r="T37" s="33">
        <f t="shared" si="56"/>
        <v>0</v>
      </c>
      <c r="U37" s="33" t="str">
        <f>IF(S37&gt;0,A37,"")</f>
        <v/>
      </c>
      <c r="V37" s="33" t="str">
        <f>IF(S37&gt;0,C37,"")</f>
        <v/>
      </c>
      <c r="W37" s="42" t="str">
        <f>IF(S37&gt;0,F37,"")</f>
        <v/>
      </c>
      <c r="X37" s="1" t="str">
        <f>IF(AND(C37&lt;&gt;0,T37&gt;3),"Es dürfen maximal 3 Positionen auf einem Rezept gedruckt werden!","")</f>
        <v/>
      </c>
    </row>
    <row r="38" spans="1:24" x14ac:dyDescent="0.25">
      <c r="A38" s="3">
        <v>17895975</v>
      </c>
      <c r="B38" s="3" t="s">
        <v>56</v>
      </c>
      <c r="C38" s="46"/>
      <c r="D38" s="32">
        <f t="shared" si="48"/>
        <v>0</v>
      </c>
      <c r="E38" s="32">
        <f t="shared" ref="E38" si="57">E37+C38</f>
        <v>0</v>
      </c>
      <c r="F38" s="11" t="str">
        <f t="shared" si="49"/>
        <v/>
      </c>
      <c r="G38" s="33">
        <f>IF(E38&lt;100,C38,IF(E38-C38&gt;100,0,MIN(100-(E38-C38))))</f>
        <v>0</v>
      </c>
      <c r="H38" s="33">
        <f>IF(E38&lt;=100,0,IF(E38-C38&gt;150,0,MIN(150,E38)-MAX(100,E38-C38)))</f>
        <v>0</v>
      </c>
      <c r="I38" s="33">
        <f>IF(E38&lt;=150,0,E38-MAX(150,E38-C38))</f>
        <v>0</v>
      </c>
      <c r="J38" s="34">
        <f>F32</f>
        <v>0</v>
      </c>
      <c r="K38" s="33" t="str">
        <f t="shared" si="50"/>
        <v/>
      </c>
      <c r="L38" s="33" t="str">
        <f t="shared" si="51"/>
        <v/>
      </c>
      <c r="M38" s="33" t="str">
        <f t="shared" si="52"/>
        <v/>
      </c>
      <c r="N38" s="35" t="str">
        <f t="shared" si="53"/>
        <v/>
      </c>
      <c r="O38" s="35" t="str">
        <f t="shared" si="45"/>
        <v/>
      </c>
      <c r="P38" s="35" t="str">
        <f t="shared" si="46"/>
        <v/>
      </c>
      <c r="Q38" s="35">
        <f t="shared" si="54"/>
        <v>1.65</v>
      </c>
      <c r="R38" s="35">
        <f>IF(F$5&lt;$K$1,8.6,7.45)</f>
        <v>8.6</v>
      </c>
      <c r="S38" s="33">
        <f t="shared" si="55"/>
        <v>0</v>
      </c>
      <c r="T38" s="33">
        <f t="shared" si="56"/>
        <v>0</v>
      </c>
      <c r="U38" s="33" t="str">
        <f>IF(S38&gt;0,A38,"")</f>
        <v/>
      </c>
      <c r="V38" s="33" t="str">
        <f>IF(S38&gt;0,C38,"")</f>
        <v/>
      </c>
      <c r="W38" s="42" t="str">
        <f>IF(S38&gt;0,F38,"")</f>
        <v/>
      </c>
      <c r="X38" s="1" t="str">
        <f>IF(AND(C38&lt;&gt;0,T38&gt;3),"Es dürfen maximal 3 Positionen auf einem Rezept gedruckt werden!","")</f>
        <v/>
      </c>
    </row>
    <row r="39" spans="1:24" x14ac:dyDescent="0.25">
      <c r="A39" s="3"/>
      <c r="B39" s="2" t="s">
        <v>7</v>
      </c>
      <c r="C39" s="8">
        <f>SUM(C34:C38)</f>
        <v>0</v>
      </c>
      <c r="D39" s="32"/>
      <c r="E39" s="32"/>
      <c r="F39" s="11">
        <f>SUM(F34:F38)</f>
        <v>0</v>
      </c>
      <c r="X39" s="1"/>
    </row>
    <row r="40" spans="1:24" x14ac:dyDescent="0.25">
      <c r="A40" s="1"/>
      <c r="B40" s="1"/>
      <c r="C40" s="7"/>
      <c r="F40" s="7"/>
      <c r="X40" s="1"/>
    </row>
    <row r="41" spans="1:24" ht="15.75" x14ac:dyDescent="0.25">
      <c r="A41" s="49" t="s">
        <v>27</v>
      </c>
      <c r="B41" s="49"/>
      <c r="C41" s="6" t="s">
        <v>17</v>
      </c>
      <c r="D41" s="29"/>
      <c r="E41" s="30"/>
      <c r="F41" s="47"/>
      <c r="X41" s="1" t="str">
        <f>IF(F41&lt;$K$3, "Eine Belieferung der Ärzte kann erst ab dem 31.05.2021 erfolgen", "")</f>
        <v>Eine Belieferung der Ärzte kann erst ab dem 31.05.2021 erfolgen</v>
      </c>
    </row>
    <row r="42" spans="1:24" s="10" customFormat="1" x14ac:dyDescent="0.25">
      <c r="A42" s="2" t="s">
        <v>0</v>
      </c>
      <c r="B42" s="2" t="s">
        <v>6</v>
      </c>
      <c r="C42" s="2" t="s">
        <v>1</v>
      </c>
      <c r="D42" s="31" t="s">
        <v>43</v>
      </c>
      <c r="E42" s="31" t="s">
        <v>44</v>
      </c>
      <c r="F42" s="2" t="s">
        <v>2</v>
      </c>
      <c r="G42" s="41"/>
      <c r="H42" s="41"/>
      <c r="I42" s="41"/>
      <c r="J42" s="41"/>
      <c r="K42" s="41"/>
      <c r="L42" s="41"/>
      <c r="M42" s="41"/>
      <c r="N42" s="43"/>
      <c r="O42" s="43"/>
      <c r="P42" s="43"/>
      <c r="Q42" s="43"/>
      <c r="R42" s="43"/>
      <c r="S42" s="41"/>
      <c r="T42" s="41"/>
      <c r="U42" s="41"/>
      <c r="V42" s="41"/>
      <c r="W42" s="41"/>
      <c r="X42" s="44"/>
    </row>
    <row r="43" spans="1:24" x14ac:dyDescent="0.25">
      <c r="A43" s="3">
        <v>17377625</v>
      </c>
      <c r="B43" s="3" t="s">
        <v>3</v>
      </c>
      <c r="C43" s="46"/>
      <c r="D43" s="32">
        <f>ROUND(C43,0)</f>
        <v>0</v>
      </c>
      <c r="E43" s="32">
        <f>E38+C43</f>
        <v>0</v>
      </c>
      <c r="F43" s="11" t="str">
        <f>IF(AND(C43&gt;0,X43="",J43&gt;=$K$3), N43+O43+P43, "")</f>
        <v/>
      </c>
      <c r="G43" s="33">
        <f>IF(E43&lt;100,C43,IF(E43-C43&gt;100,0,MIN(100-(E43-C43))))</f>
        <v>0</v>
      </c>
      <c r="H43" s="33">
        <f>IF(E43&lt;=100,0,IF(E43-C43&gt;150,0,MIN(150,E43)-MAX(100,E43-C43)))</f>
        <v>0</v>
      </c>
      <c r="I43" s="33">
        <f t="shared" ref="I43:I44" si="58">IF(E43&lt;=150,0,E43-MAX(150,E43-C43))</f>
        <v>0</v>
      </c>
      <c r="J43" s="34">
        <f>F41</f>
        <v>0</v>
      </c>
      <c r="K43" s="33" t="str">
        <f>IF($J43&lt;$K$3, "", IF($J43&lt;$K$2,6.58,7.58))</f>
        <v/>
      </c>
      <c r="L43" s="33" t="str">
        <f>IF($J43&lt;$K$3, "", IF($J43&lt;$K$2,4.28,4.92))</f>
        <v/>
      </c>
      <c r="M43" s="33" t="str">
        <f>IF($J43&lt;$K$3, "", IF($J43&lt;$K$2,2.19,2.52))</f>
        <v/>
      </c>
      <c r="N43" s="35" t="str">
        <f>IF($J43&lt;$K$3, "",G43*ROUND((K43+$Q43+$R43)*1.19,2))</f>
        <v/>
      </c>
      <c r="O43" s="35" t="str">
        <f t="shared" ref="O43:O47" si="59">IF($J43&lt;$K$3, "",H43*ROUND((L43+$Q43+$R43)*1.19,2))</f>
        <v/>
      </c>
      <c r="P43" s="35" t="str">
        <f t="shared" ref="P43:P47" si="60">IF($J43&lt;$K$3, "",I43*ROUND((M43+$Q43+$R43)*1.19,2))</f>
        <v/>
      </c>
      <c r="Q43" s="35">
        <f>IF(J43&lt;$K$4,1.65,1.4)</f>
        <v>1.65</v>
      </c>
      <c r="R43" s="35">
        <f>IF(F$41&lt;$K$1,8.6,7.45)</f>
        <v>8.6</v>
      </c>
      <c r="S43" s="33">
        <f>IF(C43&gt;0,1,0)</f>
        <v>0</v>
      </c>
      <c r="T43" s="33">
        <f>S43</f>
        <v>0</v>
      </c>
      <c r="U43" s="33" t="str">
        <f>IF(S43&gt;0,A43,"")</f>
        <v/>
      </c>
      <c r="V43" s="33" t="str">
        <f>IF(S43&gt;0,C43,"")</f>
        <v/>
      </c>
      <c r="W43" s="42" t="str">
        <f>IF(S43&gt;0,F43,"")</f>
        <v/>
      </c>
      <c r="X43" s="1" t="str">
        <f t="shared" ref="X43:X45" si="61">IF(AND(C43&lt;&gt;0,T43&gt;3),"Es dürfen maximal 3 Positionen auf einem Rezept gedruckt werden!","")</f>
        <v/>
      </c>
    </row>
    <row r="44" spans="1:24" x14ac:dyDescent="0.25">
      <c r="A44" s="3">
        <v>17377588</v>
      </c>
      <c r="B44" s="3" t="s">
        <v>4</v>
      </c>
      <c r="C44" s="46"/>
      <c r="D44" s="32">
        <f t="shared" ref="D44:D47" si="62">ROUND(C44,0)</f>
        <v>0</v>
      </c>
      <c r="E44" s="32">
        <f>E43+C44</f>
        <v>0</v>
      </c>
      <c r="F44" s="11" t="str">
        <f t="shared" ref="F44:F47" si="63">IF(AND(C44&gt;0,X44="",J44&gt;=$K$3), N44+O44+P44, "")</f>
        <v/>
      </c>
      <c r="G44" s="33">
        <f>IF(E44&lt;100,C44,IF(E44-C44&gt;100,0,MIN(100-(E44-C44))))</f>
        <v>0</v>
      </c>
      <c r="H44" s="33">
        <f>IF(E44&lt;=100,0,IF(E44-C44&gt;150,0,MIN(150,E44)-MAX(100,E44-C44)))</f>
        <v>0</v>
      </c>
      <c r="I44" s="33">
        <f t="shared" si="58"/>
        <v>0</v>
      </c>
      <c r="J44" s="34">
        <f>F41</f>
        <v>0</v>
      </c>
      <c r="K44" s="33" t="str">
        <f t="shared" ref="K44:K47" si="64">IF($J44&lt;$K$3, "", IF($J44&lt;$K$2,6.58,7.58))</f>
        <v/>
      </c>
      <c r="L44" s="33" t="str">
        <f t="shared" ref="L44:L47" si="65">IF($J44&lt;$K$3, "", IF($J44&lt;$K$2,4.28,4.92))</f>
        <v/>
      </c>
      <c r="M44" s="33" t="str">
        <f t="shared" ref="M44:M47" si="66">IF($J44&lt;$K$3, "", IF($J44&lt;$K$2,2.19,2.52))</f>
        <v/>
      </c>
      <c r="N44" s="35" t="str">
        <f t="shared" ref="N44:N47" si="67">IF($J44&lt;$K$3, "",G44*ROUND((K44+$Q44+$R44)*1.19,2))</f>
        <v/>
      </c>
      <c r="O44" s="35" t="str">
        <f t="shared" si="59"/>
        <v/>
      </c>
      <c r="P44" s="35" t="str">
        <f t="shared" si="60"/>
        <v/>
      </c>
      <c r="Q44" s="35">
        <f t="shared" ref="Q44:Q47" si="68">IF(J44&lt;$K$4,1.65,1.4)</f>
        <v>1.65</v>
      </c>
      <c r="R44" s="35">
        <f>IF(F$41&lt;$K$1,8.6,7.45)</f>
        <v>8.6</v>
      </c>
      <c r="S44" s="33">
        <f>IF(C44&gt;0,T43+1,0)</f>
        <v>0</v>
      </c>
      <c r="T44" s="33">
        <f>IF(C44&gt;0,T43+1,T43)</f>
        <v>0</v>
      </c>
      <c r="U44" s="33" t="str">
        <f>IF(S44&gt;0,A44,"")</f>
        <v/>
      </c>
      <c r="V44" s="33" t="str">
        <f>IF(S44&gt;0,C44,"")</f>
        <v/>
      </c>
      <c r="W44" s="42" t="str">
        <f>IF(S44&gt;0,F44,"")</f>
        <v/>
      </c>
      <c r="X44" s="1" t="str">
        <f t="shared" si="61"/>
        <v/>
      </c>
    </row>
    <row r="45" spans="1:24" x14ac:dyDescent="0.25">
      <c r="A45" s="3">
        <v>17377602</v>
      </c>
      <c r="B45" s="3" t="s">
        <v>52</v>
      </c>
      <c r="C45" s="46"/>
      <c r="D45" s="32">
        <f t="shared" si="62"/>
        <v>0</v>
      </c>
      <c r="E45" s="32">
        <f t="shared" ref="E45:E47" si="69">E44+C45</f>
        <v>0</v>
      </c>
      <c r="F45" s="11" t="str">
        <f t="shared" si="63"/>
        <v/>
      </c>
      <c r="G45" s="33">
        <f>IF(E45&lt;100,C45,IF(E45-C45&gt;100,0,MIN(100-(E45-C45))))</f>
        <v>0</v>
      </c>
      <c r="H45" s="33">
        <f>IF(E45&lt;=100,0,IF(E45-C45&gt;150,0,MIN(150,E45)-MAX(100,E45-C45)))</f>
        <v>0</v>
      </c>
      <c r="I45" s="33">
        <f>IF(E45&lt;=150,0,E45-MAX(150,E45-C45))</f>
        <v>0</v>
      </c>
      <c r="J45" s="34">
        <f>F41</f>
        <v>0</v>
      </c>
      <c r="K45" s="33" t="str">
        <f t="shared" si="64"/>
        <v/>
      </c>
      <c r="L45" s="33" t="str">
        <f t="shared" si="65"/>
        <v/>
      </c>
      <c r="M45" s="33" t="str">
        <f t="shared" si="66"/>
        <v/>
      </c>
      <c r="N45" s="35" t="str">
        <f t="shared" si="67"/>
        <v/>
      </c>
      <c r="O45" s="35" t="str">
        <f t="shared" si="59"/>
        <v/>
      </c>
      <c r="P45" s="35" t="str">
        <f t="shared" si="60"/>
        <v/>
      </c>
      <c r="Q45" s="35">
        <f>IF(J45&lt;$K$4,1.65,2.8)</f>
        <v>1.65</v>
      </c>
      <c r="R45" s="35">
        <f>IF(F$41&lt;$K$1,8.6,7.45)</f>
        <v>8.6</v>
      </c>
      <c r="S45" s="33">
        <f t="shared" ref="S45:S47" si="70">IF(C45&gt;0,T44+1,0)</f>
        <v>0</v>
      </c>
      <c r="T45" s="33">
        <f t="shared" ref="T45:T47" si="71">IF(C45&gt;0,T44+1,T44)</f>
        <v>0</v>
      </c>
      <c r="U45" s="33" t="str">
        <f>IF(S45&gt;0,A45,"")</f>
        <v/>
      </c>
      <c r="V45" s="33" t="str">
        <f>IF(S45&gt;0,C45,"")</f>
        <v/>
      </c>
      <c r="W45" s="42" t="str">
        <f>IF(S45&gt;0,F45,"")</f>
        <v/>
      </c>
      <c r="X45" s="1" t="str">
        <f t="shared" si="61"/>
        <v/>
      </c>
    </row>
    <row r="46" spans="1:24" x14ac:dyDescent="0.25">
      <c r="A46" s="3">
        <v>17377648</v>
      </c>
      <c r="B46" s="3" t="s">
        <v>5</v>
      </c>
      <c r="C46" s="46"/>
      <c r="D46" s="32">
        <f t="shared" si="62"/>
        <v>0</v>
      </c>
      <c r="E46" s="32">
        <f t="shared" si="69"/>
        <v>0</v>
      </c>
      <c r="F46" s="11" t="str">
        <f t="shared" si="63"/>
        <v/>
      </c>
      <c r="G46" s="33">
        <f>IF(E46&lt;100,C46,IF(E46-C46&gt;100,0,MIN(100-(E46-C46))))</f>
        <v>0</v>
      </c>
      <c r="H46" s="33">
        <f>IF(E46&lt;=100,0,IF(E46-C46&gt;150,0,MIN(150,E46)-MAX(100,E46-C46)))</f>
        <v>0</v>
      </c>
      <c r="I46" s="33">
        <f t="shared" ref="I46" si="72">IF(E46&lt;=150,0,E46-MAX(150,E46-C46))</f>
        <v>0</v>
      </c>
      <c r="J46" s="34">
        <f>F41</f>
        <v>0</v>
      </c>
      <c r="K46" s="33" t="str">
        <f t="shared" si="64"/>
        <v/>
      </c>
      <c r="L46" s="33" t="str">
        <f t="shared" si="65"/>
        <v/>
      </c>
      <c r="M46" s="33" t="str">
        <f t="shared" si="66"/>
        <v/>
      </c>
      <c r="N46" s="35" t="str">
        <f t="shared" si="67"/>
        <v/>
      </c>
      <c r="O46" s="35" t="str">
        <f t="shared" si="59"/>
        <v/>
      </c>
      <c r="P46" s="35" t="str">
        <f t="shared" si="60"/>
        <v/>
      </c>
      <c r="Q46" s="35">
        <f t="shared" si="68"/>
        <v>1.65</v>
      </c>
      <c r="R46" s="35">
        <f>IF(F$41&lt;$K$1,8.6,7.45)</f>
        <v>8.6</v>
      </c>
      <c r="S46" s="33">
        <f t="shared" si="70"/>
        <v>0</v>
      </c>
      <c r="T46" s="33">
        <f t="shared" si="71"/>
        <v>0</v>
      </c>
      <c r="U46" s="33" t="str">
        <f>IF(S46&gt;0,A46,"")</f>
        <v/>
      </c>
      <c r="V46" s="33" t="str">
        <f>IF(S46&gt;0,C46,"")</f>
        <v/>
      </c>
      <c r="W46" s="42" t="str">
        <f>IF(S46&gt;0,F46,"")</f>
        <v/>
      </c>
      <c r="X46" s="1" t="str">
        <f>IF(AND(C46&lt;&gt;0,T46&gt;3),"Es dürfen maximal 3 Positionen auf einem Rezept gedruckt werden!","")</f>
        <v/>
      </c>
    </row>
    <row r="47" spans="1:24" x14ac:dyDescent="0.25">
      <c r="A47" s="3">
        <v>17895975</v>
      </c>
      <c r="B47" s="3" t="s">
        <v>56</v>
      </c>
      <c r="C47" s="46"/>
      <c r="D47" s="32">
        <f t="shared" si="62"/>
        <v>0</v>
      </c>
      <c r="E47" s="32">
        <f t="shared" si="69"/>
        <v>0</v>
      </c>
      <c r="F47" s="11" t="str">
        <f t="shared" si="63"/>
        <v/>
      </c>
      <c r="G47" s="33">
        <f>IF(E47&lt;100,C47,IF(E47-C47&gt;100,0,MIN(100-(E47-C47))))</f>
        <v>0</v>
      </c>
      <c r="H47" s="33">
        <f>IF(E47&lt;=100,0,IF(E47-C47&gt;150,0,MIN(150,E47)-MAX(100,E47-C47)))</f>
        <v>0</v>
      </c>
      <c r="I47" s="33">
        <f>IF(E47&lt;=150,0,E47-MAX(150,E47-C47))</f>
        <v>0</v>
      </c>
      <c r="J47" s="34">
        <f>F41</f>
        <v>0</v>
      </c>
      <c r="K47" s="33" t="str">
        <f t="shared" si="64"/>
        <v/>
      </c>
      <c r="L47" s="33" t="str">
        <f t="shared" si="65"/>
        <v/>
      </c>
      <c r="M47" s="33" t="str">
        <f t="shared" si="66"/>
        <v/>
      </c>
      <c r="N47" s="35" t="str">
        <f t="shared" si="67"/>
        <v/>
      </c>
      <c r="O47" s="35" t="str">
        <f t="shared" si="59"/>
        <v/>
      </c>
      <c r="P47" s="35" t="str">
        <f t="shared" si="60"/>
        <v/>
      </c>
      <c r="Q47" s="35">
        <f t="shared" si="68"/>
        <v>1.65</v>
      </c>
      <c r="R47" s="35">
        <f>IF(F$5&lt;$K$1,8.6,7.45)</f>
        <v>8.6</v>
      </c>
      <c r="S47" s="33">
        <f t="shared" si="70"/>
        <v>0</v>
      </c>
      <c r="T47" s="33">
        <f t="shared" si="71"/>
        <v>0</v>
      </c>
      <c r="U47" s="33" t="str">
        <f>IF(S47&gt;0,A47,"")</f>
        <v/>
      </c>
      <c r="V47" s="33" t="str">
        <f>IF(S47&gt;0,C47,"")</f>
        <v/>
      </c>
      <c r="W47" s="42" t="str">
        <f>IF(S47&gt;0,F47,"")</f>
        <v/>
      </c>
      <c r="X47" s="1" t="str">
        <f>IF(AND(C47&lt;&gt;0,T47&gt;3),"Es dürfen maximal 3 Positionen auf einem Rezept gedruckt werden!","")</f>
        <v/>
      </c>
    </row>
    <row r="48" spans="1:24" x14ac:dyDescent="0.25">
      <c r="A48" s="3"/>
      <c r="B48" s="2" t="s">
        <v>7</v>
      </c>
      <c r="C48" s="8">
        <f>SUM(C43:C47)</f>
        <v>0</v>
      </c>
      <c r="D48" s="32"/>
      <c r="E48" s="32"/>
      <c r="F48" s="11">
        <f>SUM(F43:F47)</f>
        <v>0</v>
      </c>
      <c r="X48" s="1"/>
    </row>
    <row r="49" spans="1:24" x14ac:dyDescent="0.25">
      <c r="A49" s="1"/>
      <c r="B49" s="1"/>
      <c r="C49" s="7"/>
      <c r="F49" s="7"/>
      <c r="X49" s="1"/>
    </row>
    <row r="50" spans="1:24" x14ac:dyDescent="0.25">
      <c r="F50" s="20"/>
      <c r="G50" s="33">
        <f>SUM(G7:G49)</f>
        <v>0</v>
      </c>
      <c r="H50" s="33">
        <f t="shared" ref="H50:P50" si="73">SUM(H7:H49)</f>
        <v>0</v>
      </c>
      <c r="I50" s="33">
        <f t="shared" si="73"/>
        <v>0</v>
      </c>
      <c r="N50" s="35">
        <f t="shared" si="73"/>
        <v>0</v>
      </c>
      <c r="O50" s="35">
        <f t="shared" si="73"/>
        <v>0</v>
      </c>
      <c r="P50" s="35">
        <f t="shared" si="73"/>
        <v>0</v>
      </c>
    </row>
  </sheetData>
  <sheetProtection algorithmName="SHA-512" hashValue="ZY75lydKHUxenCmBw2Sp+XYIY7qBDSlVdEYTYh98mpqe11YVme2iYjV9uXORA7eQ8rw5PazO4MDd+pu3NFA60Q==" saltValue="Byl2zuUEXTgLV8cKN4T1cw==" spinCount="100000" sheet="1" objects="1" scenarios="1" selectLockedCells="1"/>
  <mergeCells count="15">
    <mergeCell ref="Q5:R5"/>
    <mergeCell ref="A32:B32"/>
    <mergeCell ref="G1:I1"/>
    <mergeCell ref="G2:I2"/>
    <mergeCell ref="G3:I3"/>
    <mergeCell ref="C1:F1"/>
    <mergeCell ref="C2:F2"/>
    <mergeCell ref="G4:I4"/>
    <mergeCell ref="A41:B41"/>
    <mergeCell ref="G5:I5"/>
    <mergeCell ref="N5:P5"/>
    <mergeCell ref="K5:M5"/>
    <mergeCell ref="A5:B5"/>
    <mergeCell ref="A14:B14"/>
    <mergeCell ref="A23:B23"/>
  </mergeCells>
  <pageMargins left="0.7" right="0.7" top="0.78740157499999996" bottom="0.78740157499999996" header="0.3" footer="0.3"/>
  <pageSetup paperSize="9" scale="96" orientation="portrait" r:id="rId1"/>
  <ignoredErrors>
    <ignoredError sqref="Q9 Q18 Q27 Q36 Q4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
  <sheetViews>
    <sheetView topLeftCell="E1" workbookViewId="0">
      <selection sqref="A1:D104857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1'!$A6,Datenerfassung!$S$7:$W$11,3,FALSE)</f>
        <v>#N/A</v>
      </c>
      <c r="C6" s="27" t="e">
        <f>VLOOKUP('Beleg 1'!$A6,Datenerfassung!$S$7:$W$11,4,FALSE)</f>
        <v>#N/A</v>
      </c>
      <c r="D6" s="27" t="e">
        <f>VLOOKUP('Beleg 1'!$A6,Datenerfassung!$S$7:$W$11,5,FALSE)</f>
        <v>#N/A</v>
      </c>
      <c r="E6" s="16"/>
      <c r="F6" s="16"/>
      <c r="G6" s="19" t="str">
        <f>IF(ISNA(B6),"",B6)</f>
        <v/>
      </c>
      <c r="H6" s="15" t="str">
        <f t="shared" ref="H6:H9" si="0">IF(ISNA(C6),"",C6)</f>
        <v/>
      </c>
      <c r="I6" s="17" t="str">
        <f>IF(ISNA(D6),"",D6*100)</f>
        <v/>
      </c>
    </row>
    <row r="7" spans="1:9" s="5" customFormat="1" ht="22.5" customHeight="1" x14ac:dyDescent="0.25">
      <c r="A7" s="26">
        <v>2</v>
      </c>
      <c r="B7" s="27" t="e">
        <f>VLOOKUP('Beleg 1'!$A7,Datenerfassung!$S$7:$W$11,3,FALSE)</f>
        <v>#N/A</v>
      </c>
      <c r="C7" s="27" t="e">
        <f>VLOOKUP('Beleg 1'!$A7,Datenerfassung!$S$7:$W$11,4,FALSE)</f>
        <v>#N/A</v>
      </c>
      <c r="D7" s="27" t="e">
        <f>VLOOKUP('Beleg 1'!$A7,Datenerfassung!$S$7:$W$11,5,FALSE)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1'!$A8,Datenerfassung!$S$7:$W$11,3,FALSE)</f>
        <v>#N/A</v>
      </c>
      <c r="C8" s="27" t="e">
        <f>VLOOKUP('Beleg 1'!$A8,Datenerfassung!$S$7:$W$11,4,FALSE)</f>
        <v>#N/A</v>
      </c>
      <c r="D8" s="27" t="e">
        <f>VLOOKUP('Beleg 1'!$A8,Datenerfassung!$S$7:$W$11,5,FALSE)</f>
        <v>#N/A</v>
      </c>
      <c r="E8" s="16"/>
      <c r="F8" s="16"/>
      <c r="G8" s="19" t="str">
        <f t="shared" si="1"/>
        <v/>
      </c>
      <c r="H8" s="15" t="str">
        <f t="shared" si="0"/>
        <v/>
      </c>
      <c r="I8" s="17" t="str">
        <f t="shared" si="2"/>
        <v/>
      </c>
    </row>
    <row r="9" spans="1:9" s="5" customFormat="1" ht="22.5" customHeight="1" x14ac:dyDescent="0.25">
      <c r="A9" s="26">
        <v>4</v>
      </c>
      <c r="B9" s="27" t="e">
        <f>VLOOKUP('Beleg 1'!$A9,Datenerfassung!$S$7:$W$11,3,FALSE)</f>
        <v>#N/A</v>
      </c>
      <c r="C9" s="27" t="e">
        <f>VLOOKUP('Beleg 1'!$A9,Datenerfassung!$S$7:$W$11,4,FALSE)</f>
        <v>#N/A</v>
      </c>
      <c r="D9" s="27" t="e">
        <f>VLOOKUP('Beleg 1'!$A9,Datenerfassung!$S$7:$W$11,5,FALSE)</f>
        <v>#N/A</v>
      </c>
      <c r="E9" s="16"/>
      <c r="F9" s="16"/>
      <c r="G9" s="19" t="str">
        <f t="shared" si="1"/>
        <v/>
      </c>
      <c r="H9" s="15" t="str">
        <f t="shared" si="0"/>
        <v/>
      </c>
      <c r="I9" s="17" t="str">
        <f t="shared" si="2"/>
        <v/>
      </c>
    </row>
    <row r="10" spans="1:9" ht="67.5" customHeight="1" x14ac:dyDescent="0.25"/>
    <row r="11" spans="1:9" x14ac:dyDescent="0.25">
      <c r="E11" s="18">
        <f>Datenerfassung!F5</f>
        <v>0</v>
      </c>
      <c r="F11" s="12">
        <f>Datenerfassung!B2</f>
        <v>0</v>
      </c>
    </row>
  </sheetData>
  <sheetProtection algorithmName="SHA-512" hashValue="HSUgWLdvVkA4u4dmKGzZXhmRCrBlF3b7TE5Wk3ckNYvyPVUhIj8GYlB1MNUNE9/66HQckvAA/3p6MFlJRxAjzQ==" saltValue="Z0o2DTJcX7EeP6A9n5SS2g=="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
  <sheetViews>
    <sheetView topLeftCell="E1" workbookViewId="0">
      <selection sqref="A1:D104857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2'!$A6,Datenerfassung!$S$16:$W$20,3,FALSE)</f>
        <v>#N/A</v>
      </c>
      <c r="C6" s="27" t="e">
        <f>VLOOKUP('Beleg 2'!$A6,Datenerfassung!$S$16:$W$20,4,FALSE)</f>
        <v>#N/A</v>
      </c>
      <c r="D6" s="27" t="e">
        <f>VLOOKUP('Beleg 2'!$A6,Datenerfassung!$S$16:$W$20,5,FALSE)</f>
        <v>#N/A</v>
      </c>
      <c r="E6" s="16"/>
      <c r="F6" s="16"/>
      <c r="G6" s="19" t="str">
        <f>IF(ISNA(B6),"",B6)</f>
        <v/>
      </c>
      <c r="H6" s="15" t="str">
        <f t="shared" ref="H6:H9" si="0">IF(ISNA(C6),"",C6)</f>
        <v/>
      </c>
      <c r="I6" s="17" t="str">
        <f>IF(ISNA(D6),"",D6*100)</f>
        <v/>
      </c>
    </row>
    <row r="7" spans="1:9" s="5" customFormat="1" ht="22.5" customHeight="1" x14ac:dyDescent="0.25">
      <c r="A7" s="26">
        <v>2</v>
      </c>
      <c r="B7" s="27" t="e">
        <f>VLOOKUP('Beleg 2'!$A7,Datenerfassung!$S$16:$W$20,3,FALSE)</f>
        <v>#N/A</v>
      </c>
      <c r="C7" s="27" t="e">
        <f>VLOOKUP('Beleg 2'!$A7,Datenerfassung!$S$16:$W$20,4,FALSE)</f>
        <v>#N/A</v>
      </c>
      <c r="D7" s="27" t="e">
        <f>VLOOKUP('Beleg 2'!$A7,Datenerfassung!$S$16:$W$20,5,FALSE)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2'!$A8,Datenerfassung!$S$16:$W$20,3,FALSE)</f>
        <v>#N/A</v>
      </c>
      <c r="C8" s="27" t="e">
        <f>VLOOKUP('Beleg 2'!$A8,Datenerfassung!$S$16:$W$20,4,FALSE)</f>
        <v>#N/A</v>
      </c>
      <c r="D8" s="27" t="e">
        <f>VLOOKUP('Beleg 2'!$A8,Datenerfassung!$S$16:$W$20,5,FALSE)</f>
        <v>#N/A</v>
      </c>
      <c r="E8" s="16"/>
      <c r="F8" s="16"/>
      <c r="G8" s="19" t="str">
        <f t="shared" si="1"/>
        <v/>
      </c>
      <c r="H8" s="15" t="str">
        <f t="shared" si="0"/>
        <v/>
      </c>
      <c r="I8" s="17" t="str">
        <f t="shared" si="2"/>
        <v/>
      </c>
    </row>
    <row r="9" spans="1:9" s="5" customFormat="1" ht="22.5" customHeight="1" x14ac:dyDescent="0.25">
      <c r="A9" s="26">
        <v>4</v>
      </c>
      <c r="B9" s="27" t="e">
        <f>VLOOKUP('Beleg 2'!$A9,Datenerfassung!$S$16:$W$20,3,FALSE)</f>
        <v>#N/A</v>
      </c>
      <c r="C9" s="27" t="e">
        <f>VLOOKUP('Beleg 2'!$A9,Datenerfassung!$S$16:$W$20,4,FALSE)</f>
        <v>#N/A</v>
      </c>
      <c r="D9" s="27" t="e">
        <f>VLOOKUP('Beleg 2'!$A9,Datenerfassung!$S$16:$W$20,5,FALSE)</f>
        <v>#N/A</v>
      </c>
      <c r="E9" s="16"/>
      <c r="F9" s="16"/>
      <c r="G9" s="19" t="str">
        <f t="shared" si="1"/>
        <v/>
      </c>
      <c r="H9" s="15" t="str">
        <f t="shared" si="0"/>
        <v/>
      </c>
      <c r="I9" s="17" t="str">
        <f t="shared" si="2"/>
        <v/>
      </c>
    </row>
    <row r="10" spans="1:9" ht="67.5" customHeight="1" x14ac:dyDescent="0.25"/>
    <row r="11" spans="1:9" x14ac:dyDescent="0.25">
      <c r="E11" s="18">
        <f>Datenerfassung!F14</f>
        <v>0</v>
      </c>
      <c r="F11" s="12">
        <f>Datenerfassung!B2</f>
        <v>0</v>
      </c>
    </row>
  </sheetData>
  <sheetProtection algorithmName="SHA-512" hashValue="thC93h73z0UiyLueVEp4+nZOe81EmwqAnKytPpK5kInZ7Q9a92wBk2OJQ6QMF7utqzC7K5fvxs2AhNQo3mVDEA==" saltValue="lgbbP7n6rVfQjfmCzo1TxQ=="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topLeftCell="E1" workbookViewId="0">
      <selection sqref="A1:D104857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3'!$A6,Datenerfassung!$S$25:$W$29,3,FALSE)</f>
        <v>#N/A</v>
      </c>
      <c r="C6" s="27" t="e">
        <f>VLOOKUP('Beleg 3'!$A6,Datenerfassung!$S$25:$W$29,4,FALSE)</f>
        <v>#N/A</v>
      </c>
      <c r="D6" s="27" t="e">
        <f>VLOOKUP('Beleg 3'!$A6,Datenerfassung!$S$25:$W$29,5,FALSE)</f>
        <v>#N/A</v>
      </c>
      <c r="E6" s="16"/>
      <c r="F6" s="16"/>
      <c r="G6" s="19" t="str">
        <f>IF(ISNA(B6),"",B6)</f>
        <v/>
      </c>
      <c r="H6" s="15" t="str">
        <f t="shared" ref="H6:H9" si="0">IF(ISNA(C6),"",C6)</f>
        <v/>
      </c>
      <c r="I6" s="17" t="str">
        <f>IF(ISNA(D6),"",D6*100)</f>
        <v/>
      </c>
    </row>
    <row r="7" spans="1:9" s="5" customFormat="1" ht="22.5" customHeight="1" x14ac:dyDescent="0.25">
      <c r="A7" s="26">
        <v>2</v>
      </c>
      <c r="B7" s="27" t="e">
        <f>VLOOKUP('Beleg 3'!$A7,Datenerfassung!$S$25:$W$29,3,FALSE)</f>
        <v>#N/A</v>
      </c>
      <c r="C7" s="27" t="e">
        <f>VLOOKUP('Beleg 3'!$A7,Datenerfassung!$S$25:$W$29,4,FALSE)</f>
        <v>#N/A</v>
      </c>
      <c r="D7" s="27" t="e">
        <f>VLOOKUP('Beleg 3'!$A7,Datenerfassung!$S$25:$W$29,5,FALSE)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3'!$A8,Datenerfassung!$S$25:$W$29,3,FALSE)</f>
        <v>#N/A</v>
      </c>
      <c r="C8" s="27" t="e">
        <f>VLOOKUP('Beleg 3'!$A8,Datenerfassung!$S$25:$W$29,4,FALSE)</f>
        <v>#N/A</v>
      </c>
      <c r="D8" s="27" t="e">
        <f>VLOOKUP('Beleg 3'!$A8,Datenerfassung!$S$25:$W$29,5,FALSE)</f>
        <v>#N/A</v>
      </c>
      <c r="E8" s="16"/>
      <c r="F8" s="16"/>
      <c r="G8" s="19" t="str">
        <f t="shared" si="1"/>
        <v/>
      </c>
      <c r="H8" s="15" t="str">
        <f t="shared" si="0"/>
        <v/>
      </c>
      <c r="I8" s="17" t="str">
        <f t="shared" si="2"/>
        <v/>
      </c>
    </row>
    <row r="9" spans="1:9" s="5" customFormat="1" ht="22.5" customHeight="1" x14ac:dyDescent="0.25">
      <c r="A9" s="26">
        <v>4</v>
      </c>
      <c r="B9" s="27" t="e">
        <f>VLOOKUP('Beleg 3'!$A9,Datenerfassung!$S$25:$W$29,3,FALSE)</f>
        <v>#N/A</v>
      </c>
      <c r="C9" s="27" t="e">
        <f>VLOOKUP('Beleg 3'!$A9,Datenerfassung!$S$25:$W$29,4,FALSE)</f>
        <v>#N/A</v>
      </c>
      <c r="D9" s="27" t="e">
        <f>VLOOKUP('Beleg 3'!$A9,Datenerfassung!$S$25:$W$29,5,FALSE)</f>
        <v>#N/A</v>
      </c>
      <c r="E9" s="16"/>
      <c r="F9" s="16"/>
      <c r="G9" s="19" t="str">
        <f t="shared" si="1"/>
        <v/>
      </c>
      <c r="H9" s="15" t="str">
        <f t="shared" si="0"/>
        <v/>
      </c>
      <c r="I9" s="17" t="str">
        <f t="shared" si="2"/>
        <v/>
      </c>
    </row>
    <row r="10" spans="1:9" ht="67.5" customHeight="1" x14ac:dyDescent="0.25"/>
    <row r="11" spans="1:9" x14ac:dyDescent="0.25">
      <c r="E11" s="18">
        <f>Datenerfassung!F23</f>
        <v>0</v>
      </c>
      <c r="F11" s="12">
        <f>Datenerfassung!B2</f>
        <v>0</v>
      </c>
    </row>
  </sheetData>
  <sheetProtection algorithmName="SHA-512" hashValue="r6D42UKE6vy9oQrnvZhUjgvsWJG5RCc9w+Bkc4tX8HZdcYs14iJOS2CmFYog1r+yEkeD0PjDHw+91ZYYoH5iHQ==" saltValue="jYTRjYGwj5IhHatI70ft3g=="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
  <sheetViews>
    <sheetView topLeftCell="E1" workbookViewId="0">
      <selection activeCell="K42" sqref="K42:K4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4'!$A6,Datenerfassung!$S$34:$W$38,3,FALSE)</f>
        <v>#N/A</v>
      </c>
      <c r="C6" s="27" t="e">
        <f>VLOOKUP('Beleg 4'!$A6,Datenerfassung!$S$34:$W$38,4,FALSE)</f>
        <v>#N/A</v>
      </c>
      <c r="D6" s="27" t="e">
        <f>VLOOKUP('Beleg 4'!$A6,Datenerfassung!$S$34:$W$38,5,FALSE)</f>
        <v>#N/A</v>
      </c>
      <c r="E6" s="16"/>
      <c r="F6" s="16"/>
      <c r="G6" s="19" t="str">
        <f>IF(ISNA(B6),"",B6)</f>
        <v/>
      </c>
      <c r="H6" s="15" t="str">
        <f t="shared" ref="H6:H9" si="0">IF(ISNA(C6),"",C6)</f>
        <v/>
      </c>
      <c r="I6" s="17" t="str">
        <f>IF(ISNA(D6),"",D6*100)</f>
        <v/>
      </c>
    </row>
    <row r="7" spans="1:9" s="5" customFormat="1" ht="22.5" customHeight="1" x14ac:dyDescent="0.25">
      <c r="A7" s="26">
        <v>2</v>
      </c>
      <c r="B7" s="27" t="e">
        <f>VLOOKUP('Beleg 4'!$A7,Datenerfassung!$S$34:$W$38,3,FALSE)</f>
        <v>#N/A</v>
      </c>
      <c r="C7" s="27" t="e">
        <f>VLOOKUP('Beleg 4'!$A7,Datenerfassung!$S$34:$W$38,4,FALSE)</f>
        <v>#N/A</v>
      </c>
      <c r="D7" s="27" t="e">
        <f>VLOOKUP('Beleg 4'!$A7,Datenerfassung!$S$34:$W$38,5,FALSE)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4'!$A8,Datenerfassung!$S$34:$W$38,3,FALSE)</f>
        <v>#N/A</v>
      </c>
      <c r="C8" s="27" t="e">
        <f>VLOOKUP('Beleg 4'!$A8,Datenerfassung!$S$34:$W$38,4,FALSE)</f>
        <v>#N/A</v>
      </c>
      <c r="D8" s="27" t="e">
        <f>VLOOKUP('Beleg 4'!$A8,Datenerfassung!$S$34:$W$38,5,FALSE)</f>
        <v>#N/A</v>
      </c>
      <c r="E8" s="16"/>
      <c r="F8" s="16"/>
      <c r="G8" s="19" t="str">
        <f t="shared" si="1"/>
        <v/>
      </c>
      <c r="H8" s="15" t="str">
        <f t="shared" si="0"/>
        <v/>
      </c>
      <c r="I8" s="17" t="str">
        <f t="shared" si="2"/>
        <v/>
      </c>
    </row>
    <row r="9" spans="1:9" s="5" customFormat="1" ht="22.5" customHeight="1" x14ac:dyDescent="0.25">
      <c r="A9" s="26">
        <v>4</v>
      </c>
      <c r="B9" s="27" t="e">
        <f>VLOOKUP('Beleg 4'!$A9,Datenerfassung!$S$34:$W$38,3,FALSE)</f>
        <v>#N/A</v>
      </c>
      <c r="C9" s="27" t="e">
        <f>VLOOKUP('Beleg 4'!$A9,Datenerfassung!$S$34:$W$38,4,FALSE)</f>
        <v>#N/A</v>
      </c>
      <c r="D9" s="27" t="e">
        <f>VLOOKUP('Beleg 4'!$A9,Datenerfassung!$S$34:$W$38,5,FALSE)</f>
        <v>#N/A</v>
      </c>
      <c r="E9" s="16"/>
      <c r="F9" s="16"/>
      <c r="G9" s="19" t="str">
        <f t="shared" si="1"/>
        <v/>
      </c>
      <c r="H9" s="15" t="str">
        <f t="shared" si="0"/>
        <v/>
      </c>
      <c r="I9" s="17" t="str">
        <f t="shared" si="2"/>
        <v/>
      </c>
    </row>
    <row r="10" spans="1:9" ht="67.5" customHeight="1" x14ac:dyDescent="0.25"/>
    <row r="11" spans="1:9" x14ac:dyDescent="0.25">
      <c r="E11" s="18">
        <f>Datenerfassung!F32</f>
        <v>0</v>
      </c>
      <c r="F11" s="12">
        <f>Datenerfassung!B2</f>
        <v>0</v>
      </c>
    </row>
  </sheetData>
  <sheetProtection algorithmName="SHA-512" hashValue="xp0+Y04PtkeioBbhVTPNlvSAtaxFPQDNTv8RNPDdITUvsxUKgHzjNA15ORXZ0xzKfCSj/7OCvjbBYytoGBiDkw==" saltValue="5nBn+pvkzywfJ/beKwfnNg=="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
  <sheetViews>
    <sheetView topLeftCell="E1" workbookViewId="0">
      <selection sqref="A1:D104857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5'!$A6,Datenerfassung!$S$43:$W$47,3,FALSE)</f>
        <v>#N/A</v>
      </c>
      <c r="C6" s="27" t="e">
        <f>VLOOKUP('Beleg 5'!$A6,Datenerfassung!$S$43:$W$47,4,FALSE)</f>
        <v>#N/A</v>
      </c>
      <c r="D6" s="27" t="e">
        <f>VLOOKUP('Beleg 5'!$A6,Datenerfassung!$S$43:$W$47,5,FALSE)</f>
        <v>#N/A</v>
      </c>
      <c r="E6" s="16"/>
      <c r="F6" s="16"/>
      <c r="G6" s="19" t="str">
        <f>IF(ISNA(B6),"",B6)</f>
        <v/>
      </c>
      <c r="H6" s="15" t="str">
        <f t="shared" ref="H6:H9" si="0">IF(ISNA(C6),"",C6)</f>
        <v/>
      </c>
      <c r="I6" s="17" t="str">
        <f>IF(ISNA(D6),"",D6*100)</f>
        <v/>
      </c>
    </row>
    <row r="7" spans="1:9" s="5" customFormat="1" ht="22.5" customHeight="1" x14ac:dyDescent="0.25">
      <c r="A7" s="26">
        <v>2</v>
      </c>
      <c r="B7" s="27" t="e">
        <f>VLOOKUP('Beleg 5'!$A7,Datenerfassung!$S$43:$W$47,3,FALSE)</f>
        <v>#N/A</v>
      </c>
      <c r="C7" s="27" t="e">
        <f>VLOOKUP('Beleg 5'!$A7,Datenerfassung!$S$43:$W$47,4,FALSE)</f>
        <v>#N/A</v>
      </c>
      <c r="D7" s="27" t="e">
        <f>VLOOKUP('Beleg 5'!$A7,Datenerfassung!$S$43:$W$47,5,FALSE)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5'!$A8,Datenerfassung!$S$43:$W$47,3,FALSE)</f>
        <v>#N/A</v>
      </c>
      <c r="C8" s="27" t="e">
        <f>VLOOKUP('Beleg 5'!$A8,Datenerfassung!$S$43:$W$47,4,FALSE)</f>
        <v>#N/A</v>
      </c>
      <c r="D8" s="27" t="e">
        <f>VLOOKUP('Beleg 5'!$A8,Datenerfassung!$S$43:$W$47,5,FALSE)</f>
        <v>#N/A</v>
      </c>
      <c r="E8" s="16"/>
      <c r="F8" s="16"/>
      <c r="G8" s="19" t="str">
        <f t="shared" si="1"/>
        <v/>
      </c>
      <c r="H8" s="15" t="str">
        <f t="shared" si="0"/>
        <v/>
      </c>
      <c r="I8" s="17" t="str">
        <f t="shared" si="2"/>
        <v/>
      </c>
    </row>
    <row r="9" spans="1:9" s="5" customFormat="1" ht="22.5" customHeight="1" x14ac:dyDescent="0.25">
      <c r="A9" s="26">
        <v>4</v>
      </c>
      <c r="B9" s="27" t="e">
        <f>VLOOKUP('Beleg 5'!$A9,Datenerfassung!$S$43:$W$47,3,FALSE)</f>
        <v>#N/A</v>
      </c>
      <c r="C9" s="27" t="e">
        <f>VLOOKUP('Beleg 5'!$A9,Datenerfassung!$S$43:$W$47,4,FALSE)</f>
        <v>#N/A</v>
      </c>
      <c r="D9" s="27" t="e">
        <f>VLOOKUP('Beleg 5'!$A9,Datenerfassung!$S$43:$W$47,5,FALSE)</f>
        <v>#N/A</v>
      </c>
      <c r="E9" s="16"/>
      <c r="F9" s="16"/>
      <c r="G9" s="19" t="str">
        <f t="shared" si="1"/>
        <v/>
      </c>
      <c r="H9" s="15" t="str">
        <f t="shared" si="0"/>
        <v/>
      </c>
      <c r="I9" s="17" t="str">
        <f t="shared" si="2"/>
        <v/>
      </c>
    </row>
    <row r="10" spans="1:9" ht="67.5" customHeight="1" x14ac:dyDescent="0.25"/>
    <row r="11" spans="1:9" x14ac:dyDescent="0.25">
      <c r="E11" s="18">
        <f>Datenerfassung!F41</f>
        <v>0</v>
      </c>
      <c r="F11" s="12">
        <f>Datenerfassung!B2</f>
        <v>0</v>
      </c>
    </row>
  </sheetData>
  <sheetProtection algorithmName="SHA-512" hashValue="8wrseJfbOG/gS4pxxw5tPgy6OA0CH+eP8NK04CzBkKG/wlCCmiqr7Mp+NG2WNkI8OPCZO1S9kAHrj7Zjl9oMTg==" saltValue="8nLr63upGLrOwdfiGeppsA=="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ANLEITUNG</vt:lpstr>
      <vt:lpstr>Datenerfassung</vt:lpstr>
      <vt:lpstr>Beleg 1</vt:lpstr>
      <vt:lpstr>Beleg 2</vt:lpstr>
      <vt:lpstr>Beleg 3</vt:lpstr>
      <vt:lpstr>Beleg 4</vt:lpstr>
      <vt:lpstr>Beleg 5</vt:lpstr>
      <vt:lpstr>'Beleg 1'!Druckbereich</vt:lpstr>
      <vt:lpstr>'Beleg 2'!Druckbereich</vt:lpstr>
      <vt:lpstr>'Beleg 3'!Druckbereich</vt:lpstr>
      <vt:lpstr>'Beleg 4'!Druckbereich</vt:lpstr>
      <vt:lpstr>'Beleg 5'!Druckbereich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Kallbach, Kai</dc:creator>
  <cp:lastModifiedBy>Meiners, Ommo</cp:lastModifiedBy>
  <cp:lastPrinted>2021-07-15T13:48:56Z</cp:lastPrinted>
  <dcterms:created xsi:type="dcterms:W3CDTF">2021-05-27T15:53:30Z</dcterms:created>
  <dcterms:modified xsi:type="dcterms:W3CDTF">2021-12-17T12:54:44Z</dcterms:modified>
</cp:coreProperties>
</file>